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My Drive\Sn + O2\"/>
    </mc:Choice>
  </mc:AlternateContent>
  <xr:revisionPtr revIDLastSave="0" documentId="13_ncr:1_{CC80F5E5-7079-4CBC-93F0-94FE46C92AF2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Sn +O2 O2 loss " sheetId="8" r:id="rId1"/>
    <sheet name="C2Cl Hloss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8" l="1"/>
  <c r="G47" i="8"/>
  <c r="G46" i="8"/>
  <c r="E34" i="8"/>
  <c r="G45" i="8"/>
  <c r="G44" i="8"/>
  <c r="G43" i="8" l="1"/>
  <c r="G42" i="8"/>
  <c r="G39" i="8" l="1"/>
  <c r="B18" i="8" l="1"/>
  <c r="F34" i="8" l="1"/>
  <c r="F33" i="8"/>
  <c r="E33" i="8"/>
  <c r="F7" i="7" l="1"/>
  <c r="F7" i="8"/>
  <c r="G38" i="8" l="1"/>
  <c r="G40" i="8"/>
  <c r="G41" i="8"/>
  <c r="G37" i="8"/>
  <c r="G34" i="8" l="1"/>
  <c r="F6" i="8" l="1"/>
  <c r="B13" i="8" l="1"/>
  <c r="K51" i="8" l="1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B36" i="8"/>
  <c r="D18" i="8"/>
  <c r="B16" i="8"/>
  <c r="B14" i="8"/>
  <c r="B15" i="8" s="1"/>
  <c r="K4" i="8"/>
  <c r="U4" i="8" s="1"/>
  <c r="J4" i="8"/>
  <c r="V3" i="8" s="1"/>
  <c r="K51" i="7"/>
  <c r="B20" i="8" l="1"/>
  <c r="B19" i="8"/>
  <c r="M4" i="8"/>
  <c r="S40" i="8" s="1"/>
  <c r="D20" i="8"/>
  <c r="Q4" i="8" s="1"/>
  <c r="R4" i="8" s="1"/>
  <c r="D19" i="8"/>
  <c r="O4" i="8" s="1"/>
  <c r="P4" i="8" s="1"/>
  <c r="E12" i="7"/>
  <c r="K50" i="7"/>
  <c r="K49" i="7"/>
  <c r="K48" i="7"/>
  <c r="K47" i="7"/>
  <c r="K46" i="7"/>
  <c r="K45" i="7"/>
  <c r="K44" i="7"/>
  <c r="G44" i="7"/>
  <c r="K43" i="7"/>
  <c r="G43" i="7"/>
  <c r="K42" i="7"/>
  <c r="G42" i="7"/>
  <c r="K41" i="7"/>
  <c r="G41" i="7"/>
  <c r="K40" i="7"/>
  <c r="G40" i="7"/>
  <c r="K39" i="7"/>
  <c r="G39" i="7"/>
  <c r="K38" i="7"/>
  <c r="G38" i="7"/>
  <c r="K37" i="7"/>
  <c r="G37" i="7"/>
  <c r="G34" i="7" s="1"/>
  <c r="B36" i="7"/>
  <c r="F34" i="7"/>
  <c r="E34" i="7"/>
  <c r="D18" i="7"/>
  <c r="B18" i="7"/>
  <c r="B16" i="7"/>
  <c r="B13" i="7"/>
  <c r="B14" i="7" s="1"/>
  <c r="B15" i="7" s="1"/>
  <c r="F6" i="7"/>
  <c r="K4" i="7"/>
  <c r="U4" i="7" s="1"/>
  <c r="J4" i="7"/>
  <c r="V3" i="7" s="1"/>
  <c r="S37" i="8" l="1"/>
  <c r="S28" i="8"/>
  <c r="S19" i="8"/>
  <c r="S69" i="8"/>
  <c r="S38" i="8"/>
  <c r="S16" i="8"/>
  <c r="S48" i="8"/>
  <c r="S10" i="8"/>
  <c r="S52" i="8"/>
  <c r="S53" i="8"/>
  <c r="S62" i="8"/>
  <c r="S57" i="8"/>
  <c r="S7" i="8"/>
  <c r="N4" i="8"/>
  <c r="T75" i="8" s="1"/>
  <c r="S6" i="8"/>
  <c r="S67" i="8"/>
  <c r="S49" i="8"/>
  <c r="S46" i="8"/>
  <c r="S32" i="8"/>
  <c r="S30" i="8"/>
  <c r="S13" i="8"/>
  <c r="S59" i="8"/>
  <c r="S75" i="8"/>
  <c r="S11" i="8"/>
  <c r="S54" i="8"/>
  <c r="S70" i="8"/>
  <c r="S27" i="8"/>
  <c r="S26" i="8"/>
  <c r="S66" i="8"/>
  <c r="S25" i="8"/>
  <c r="S50" i="8"/>
  <c r="S24" i="8"/>
  <c r="S22" i="8"/>
  <c r="S47" i="8"/>
  <c r="S65" i="8"/>
  <c r="S4" i="8"/>
  <c r="S15" i="8"/>
  <c r="S60" i="8"/>
  <c r="S74" i="8"/>
  <c r="S29" i="8"/>
  <c r="S41" i="8"/>
  <c r="S43" i="8"/>
  <c r="S8" i="8"/>
  <c r="S51" i="8"/>
  <c r="S61" i="8"/>
  <c r="S73" i="8"/>
  <c r="S3" i="8"/>
  <c r="S34" i="8"/>
  <c r="S58" i="8"/>
  <c r="S68" i="8"/>
  <c r="S21" i="8"/>
  <c r="S33" i="8"/>
  <c r="S17" i="8"/>
  <c r="D20" i="7"/>
  <c r="Q4" i="7" s="1"/>
  <c r="R4" i="7" s="1"/>
  <c r="S36" i="8"/>
  <c r="S44" i="8"/>
  <c r="S42" i="8"/>
  <c r="S18" i="8"/>
  <c r="S39" i="8"/>
  <c r="S5" i="8"/>
  <c r="S35" i="8"/>
  <c r="S55" i="8"/>
  <c r="S63" i="8"/>
  <c r="S71" i="8"/>
  <c r="S12" i="8"/>
  <c r="S9" i="8"/>
  <c r="S45" i="8"/>
  <c r="S56" i="8"/>
  <c r="S64" i="8"/>
  <c r="S72" i="8"/>
  <c r="S23" i="8"/>
  <c r="S31" i="8"/>
  <c r="S20" i="8"/>
  <c r="S14" i="8"/>
  <c r="B20" i="7"/>
  <c r="D19" i="7"/>
  <c r="O4" i="7" s="1"/>
  <c r="P4" i="7" s="1"/>
  <c r="M4" i="7"/>
  <c r="B19" i="7"/>
  <c r="T52" i="8" l="1"/>
  <c r="T19" i="8"/>
  <c r="T5" i="8"/>
  <c r="T31" i="8"/>
  <c r="T24" i="8"/>
  <c r="T49" i="8"/>
  <c r="T38" i="8"/>
  <c r="T33" i="8"/>
  <c r="T68" i="8"/>
  <c r="T12" i="8"/>
  <c r="T54" i="8"/>
  <c r="T15" i="8"/>
  <c r="T17" i="8"/>
  <c r="T43" i="8"/>
  <c r="T23" i="8"/>
  <c r="T74" i="8"/>
  <c r="T69" i="8"/>
  <c r="T56" i="8"/>
  <c r="T4" i="8"/>
  <c r="T32" i="8"/>
  <c r="T7" i="8"/>
  <c r="T42" i="8"/>
  <c r="T61" i="8"/>
  <c r="T3" i="8"/>
  <c r="T72" i="8"/>
  <c r="T39" i="8"/>
  <c r="T8" i="8"/>
  <c r="T25" i="8"/>
  <c r="T58" i="8"/>
  <c r="T53" i="8"/>
  <c r="T9" i="8"/>
  <c r="T34" i="8"/>
  <c r="T60" i="8"/>
  <c r="T6" i="8"/>
  <c r="T36" i="8"/>
  <c r="T40" i="8"/>
  <c r="T44" i="8"/>
  <c r="T10" i="8"/>
  <c r="T16" i="8"/>
  <c r="T27" i="8"/>
  <c r="T46" i="8"/>
  <c r="T62" i="8"/>
  <c r="T18" i="8"/>
  <c r="T26" i="8"/>
  <c r="T35" i="8"/>
  <c r="T55" i="8"/>
  <c r="T63" i="8"/>
  <c r="T71" i="8"/>
  <c r="T11" i="8"/>
  <c r="T45" i="8"/>
  <c r="T64" i="8"/>
  <c r="T14" i="8"/>
  <c r="T37" i="8"/>
  <c r="T41" i="8"/>
  <c r="T48" i="8"/>
  <c r="T13" i="8"/>
  <c r="T21" i="8"/>
  <c r="T29" i="8"/>
  <c r="T50" i="8"/>
  <c r="T66" i="8"/>
  <c r="T20" i="8"/>
  <c r="T28" i="8"/>
  <c r="T47" i="8"/>
  <c r="T57" i="8"/>
  <c r="T65" i="8"/>
  <c r="T73" i="8"/>
  <c r="T70" i="8"/>
  <c r="T22" i="8"/>
  <c r="T30" i="8"/>
  <c r="T51" i="8"/>
  <c r="T59" i="8"/>
  <c r="T67" i="8"/>
  <c r="S47" i="7"/>
  <c r="S35" i="7"/>
  <c r="S13" i="7"/>
  <c r="S10" i="7"/>
  <c r="S8" i="7"/>
  <c r="S5" i="7"/>
  <c r="N4" i="7"/>
  <c r="S15" i="7"/>
  <c r="S70" i="7"/>
  <c r="S64" i="7"/>
  <c r="S58" i="7"/>
  <c r="S52" i="7"/>
  <c r="S29" i="7"/>
  <c r="S25" i="7"/>
  <c r="S21" i="7"/>
  <c r="S16" i="7"/>
  <c r="S12" i="7"/>
  <c r="S75" i="7"/>
  <c r="S73" i="7"/>
  <c r="S71" i="7"/>
  <c r="S69" i="7"/>
  <c r="S67" i="7"/>
  <c r="S65" i="7"/>
  <c r="S63" i="7"/>
  <c r="S61" i="7"/>
  <c r="S59" i="7"/>
  <c r="S57" i="7"/>
  <c r="S55" i="7"/>
  <c r="S53" i="7"/>
  <c r="S51" i="7"/>
  <c r="S48" i="7"/>
  <c r="S44" i="7"/>
  <c r="S43" i="7"/>
  <c r="S42" i="7"/>
  <c r="S41" i="7"/>
  <c r="S40" i="7"/>
  <c r="S39" i="7"/>
  <c r="S38" i="7"/>
  <c r="S37" i="7"/>
  <c r="S36" i="7"/>
  <c r="S32" i="7"/>
  <c r="S30" i="7"/>
  <c r="S28" i="7"/>
  <c r="S26" i="7"/>
  <c r="S24" i="7"/>
  <c r="S22" i="7"/>
  <c r="S20" i="7"/>
  <c r="S19" i="7"/>
  <c r="S18" i="7"/>
  <c r="S17" i="7"/>
  <c r="S14" i="7"/>
  <c r="S6" i="7"/>
  <c r="S34" i="7"/>
  <c r="S11" i="7"/>
  <c r="S7" i="7"/>
  <c r="S3" i="7"/>
  <c r="S74" i="7"/>
  <c r="S68" i="7"/>
  <c r="S66" i="7"/>
  <c r="S60" i="7"/>
  <c r="S56" i="7"/>
  <c r="S50" i="7"/>
  <c r="S46" i="7"/>
  <c r="S33" i="7"/>
  <c r="S31" i="7"/>
  <c r="S27" i="7"/>
  <c r="S23" i="7"/>
  <c r="S4" i="7"/>
  <c r="S49" i="7"/>
  <c r="S45" i="7"/>
  <c r="S9" i="7"/>
  <c r="S72" i="7"/>
  <c r="S62" i="7"/>
  <c r="S54" i="7"/>
  <c r="T75" i="7" l="1"/>
  <c r="T73" i="7"/>
  <c r="T71" i="7"/>
  <c r="T69" i="7"/>
  <c r="T67" i="7"/>
  <c r="T65" i="7"/>
  <c r="T63" i="7"/>
  <c r="T61" i="7"/>
  <c r="T59" i="7"/>
  <c r="T57" i="7"/>
  <c r="T55" i="7"/>
  <c r="T53" i="7"/>
  <c r="T51" i="7"/>
  <c r="T48" i="7"/>
  <c r="T44" i="7"/>
  <c r="T43" i="7"/>
  <c r="T42" i="7"/>
  <c r="T41" i="7"/>
  <c r="T40" i="7"/>
  <c r="T39" i="7"/>
  <c r="T38" i="7"/>
  <c r="T37" i="7"/>
  <c r="T36" i="7"/>
  <c r="T32" i="7"/>
  <c r="T30" i="7"/>
  <c r="T28" i="7"/>
  <c r="T26" i="7"/>
  <c r="T24" i="7"/>
  <c r="T22" i="7"/>
  <c r="T20" i="7"/>
  <c r="T19" i="7"/>
  <c r="T18" i="7"/>
  <c r="T17" i="7"/>
  <c r="T14" i="7"/>
  <c r="T6" i="7"/>
  <c r="T29" i="7"/>
  <c r="T23" i="7"/>
  <c r="T16" i="7"/>
  <c r="T13" i="7"/>
  <c r="T10" i="7"/>
  <c r="T8" i="7"/>
  <c r="T49" i="7"/>
  <c r="T45" i="7"/>
  <c r="T34" i="7"/>
  <c r="T15" i="7"/>
  <c r="T11" i="7"/>
  <c r="T9" i="7"/>
  <c r="T7" i="7"/>
  <c r="T3" i="7"/>
  <c r="T33" i="7"/>
  <c r="T31" i="7"/>
  <c r="T27" i="7"/>
  <c r="T25" i="7"/>
  <c r="T21" i="7"/>
  <c r="T4" i="7"/>
  <c r="T5" i="7"/>
  <c r="T74" i="7"/>
  <c r="T72" i="7"/>
  <c r="T70" i="7"/>
  <c r="T68" i="7"/>
  <c r="T66" i="7"/>
  <c r="T64" i="7"/>
  <c r="T62" i="7"/>
  <c r="T60" i="7"/>
  <c r="T58" i="7"/>
  <c r="T56" i="7"/>
  <c r="T54" i="7"/>
  <c r="T52" i="7"/>
  <c r="T50" i="7"/>
  <c r="T46" i="7"/>
  <c r="T12" i="7"/>
  <c r="T47" i="7"/>
  <c r="T35" i="7"/>
</calcChain>
</file>

<file path=xl/sharedStrings.xml><?xml version="1.0" encoding="utf-8"?>
<sst xmlns="http://schemas.openxmlformats.org/spreadsheetml/2006/main" count="111" uniqueCount="50">
  <si>
    <t>Reaction:</t>
  </si>
  <si>
    <t>1 + 2 -&gt; 3 + 4</t>
  </si>
  <si>
    <t>Species</t>
  </si>
  <si>
    <t>Formula</t>
  </si>
  <si>
    <t>CM</t>
  </si>
  <si>
    <t>X</t>
  </si>
  <si>
    <t>Ec</t>
  </si>
  <si>
    <t>Circle Radius</t>
  </si>
  <si>
    <t>Er</t>
  </si>
  <si>
    <t>m/s</t>
  </si>
  <si>
    <t>Mass(g/mol)</t>
  </si>
  <si>
    <t>CM speed</t>
  </si>
  <si>
    <t>S</t>
  </si>
  <si>
    <t>Vp</t>
  </si>
  <si>
    <t>Limit+</t>
  </si>
  <si>
    <t>Limit-</t>
  </si>
  <si>
    <t>Source 1</t>
  </si>
  <si>
    <t>Source 2</t>
  </si>
  <si>
    <t>Circle</t>
  </si>
  <si>
    <t>=</t>
  </si>
  <si>
    <t>Edge</t>
  </si>
  <si>
    <t>J</t>
  </si>
  <si>
    <t>Velocity(Vt, m/s)</t>
  </si>
  <si>
    <t>CM offset</t>
  </si>
  <si>
    <t>J/mol</t>
  </si>
  <si>
    <t>Hf(J/mol)</t>
  </si>
  <si>
    <t>offset</t>
  </si>
  <si>
    <t>PVI delay</t>
  </si>
  <si>
    <t>chopper wheel</t>
  </si>
  <si>
    <t>mcs dead</t>
  </si>
  <si>
    <t>photodiode delay</t>
  </si>
  <si>
    <t xml:space="preserve"> Vt1</t>
  </si>
  <si>
    <t>s</t>
  </si>
  <si>
    <t xml:space="preserve">slit width </t>
  </si>
  <si>
    <t xml:space="preserve">CW offset </t>
  </si>
  <si>
    <t>Vt</t>
  </si>
  <si>
    <t>c4H8</t>
  </si>
  <si>
    <t>Methylpropane</t>
  </si>
  <si>
    <t>C6H7</t>
  </si>
  <si>
    <t>C2Cl</t>
  </si>
  <si>
    <t>Dicarbon Chloro</t>
  </si>
  <si>
    <t>HCl</t>
  </si>
  <si>
    <t>StD</t>
  </si>
  <si>
    <t>Mean</t>
  </si>
  <si>
    <t>Sn</t>
  </si>
  <si>
    <t>Tin</t>
  </si>
  <si>
    <t>Oxygen</t>
  </si>
  <si>
    <t>O2</t>
  </si>
  <si>
    <t>SnO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</si>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</sst>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389C8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2" fontId="2" fillId="0" borderId="0" xfId="0" applyNumberFormat="1" applyFont="1"/>
    <xf numFmtId="0" fontId="3" fillId="2" borderId="0" xfId="0" applyFont="1" applyFill="1"/>
    <xf numFmtId="0" fontId="2" fillId="3" borderId="0" xfId="0" applyFont="1" applyFill="1"/>
    <xf numFmtId="0" fontId="1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0" borderId="11" xfId="0" applyFont="1" applyFill="1" applyBorder="1"/>
    <xf numFmtId="0" fontId="2" fillId="3" borderId="12" xfId="0" applyFont="1" applyFill="1" applyBorder="1"/>
    <xf numFmtId="2" fontId="2" fillId="3" borderId="13" xfId="0" applyNumberFormat="1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3" fillId="0" borderId="0" xfId="0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4" borderId="0" xfId="0" applyFont="1" applyFill="1"/>
    <xf numFmtId="0" fontId="2" fillId="4" borderId="6" xfId="0" applyFont="1" applyFill="1" applyBorder="1"/>
    <xf numFmtId="0" fontId="2" fillId="0" borderId="6" xfId="0" applyFont="1" applyBorder="1"/>
    <xf numFmtId="1" fontId="2" fillId="0" borderId="6" xfId="0" applyNumberFormat="1" applyFont="1" applyBorder="1"/>
    <xf numFmtId="164" fontId="2" fillId="0" borderId="6" xfId="0" applyNumberFormat="1" applyFont="1" applyBorder="1"/>
    <xf numFmtId="2" fontId="3" fillId="5" borderId="0" xfId="0" applyNumberFormat="1" applyFont="1" applyFill="1" applyAlignment="1">
      <alignment horizontal="right"/>
    </xf>
    <xf numFmtId="0" fontId="3" fillId="5" borderId="0" xfId="0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/>
  <colors>
    <mruColors>
      <color rgb="FFD389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13052227904385E-2"/>
          <c:y val="0.34091687694144718"/>
          <c:w val="0.91566854119740404"/>
          <c:h val="0.547395759041607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'Sn +O2 O2 loss 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'Sn +O2 O2 loss '!$S$3:$S$75</c:f>
              <c:numCache>
                <c:formatCode>General</c:formatCode>
                <c:ptCount val="73"/>
                <c:pt idx="0">
                  <c:v>434.73344781745004</c:v>
                </c:pt>
                <c:pt idx="1">
                  <c:v>433.70242419565079</c:v>
                </c:pt>
                <c:pt idx="2">
                  <c:v>430.61720004256392</c:v>
                </c:pt>
                <c:pt idx="3">
                  <c:v>425.50125577690392</c:v>
                </c:pt>
                <c:pt idx="4">
                  <c:v>418.3935268236238</c:v>
                </c:pt>
                <c:pt idx="5">
                  <c:v>409.3481072918222</c:v>
                </c:pt>
                <c:pt idx="6">
                  <c:v>398.43383828590981</c:v>
                </c:pt>
                <c:pt idx="7">
                  <c:v>385.73378398323746</c:v>
                </c:pt>
                <c:pt idx="8">
                  <c:v>371.3445994655508</c:v>
                </c:pt>
                <c:pt idx="9">
                  <c:v>355.37579511545675</c:v>
                </c:pt>
                <c:pt idx="10">
                  <c:v>337.9489031762871</c:v>
                </c:pt>
                <c:pt idx="11">
                  <c:v>319.19655281834412</c:v>
                </c:pt>
                <c:pt idx="12">
                  <c:v>299.26146075083034</c:v>
                </c:pt>
                <c:pt idx="13">
                  <c:v>278.29534506151725</c:v>
                </c:pt>
                <c:pt idx="14">
                  <c:v>256.45777055048745</c:v>
                </c:pt>
                <c:pt idx="15">
                  <c:v>233.91493434565768</c:v>
                </c:pt>
                <c:pt idx="16">
                  <c:v>210.83840104228352</c:v>
                </c:pt>
                <c:pt idx="17">
                  <c:v>187.40379699279532</c:v>
                </c:pt>
                <c:pt idx="18">
                  <c:v>163.78947368421058</c:v>
                </c:pt>
                <c:pt idx="19">
                  <c:v>140.17515037562575</c:v>
                </c:pt>
                <c:pt idx="20">
                  <c:v>116.7405463261376</c:v>
                </c:pt>
                <c:pt idx="21">
                  <c:v>93.664013022763385</c:v>
                </c:pt>
                <c:pt idx="22">
                  <c:v>71.121176817933687</c:v>
                </c:pt>
                <c:pt idx="23">
                  <c:v>49.283602306903859</c:v>
                </c:pt>
                <c:pt idx="24">
                  <c:v>28.317486617590845</c:v>
                </c:pt>
                <c:pt idx="25">
                  <c:v>8.3823945500770947</c:v>
                </c:pt>
                <c:pt idx="26">
                  <c:v>-10.369955807866035</c:v>
                </c:pt>
                <c:pt idx="27">
                  <c:v>-27.796847747035628</c:v>
                </c:pt>
                <c:pt idx="28">
                  <c:v>-43.765652097129674</c:v>
                </c:pt>
                <c:pt idx="29">
                  <c:v>-58.154836614816247</c:v>
                </c:pt>
                <c:pt idx="30">
                  <c:v>-70.854890917488717</c:v>
                </c:pt>
                <c:pt idx="31">
                  <c:v>-81.769159923401077</c:v>
                </c:pt>
                <c:pt idx="32">
                  <c:v>-90.814579455202647</c:v>
                </c:pt>
                <c:pt idx="33">
                  <c:v>-97.922308408482735</c:v>
                </c:pt>
                <c:pt idx="34">
                  <c:v>-103.03825267414285</c:v>
                </c:pt>
                <c:pt idx="35">
                  <c:v>-106.12347682722972</c:v>
                </c:pt>
                <c:pt idx="36">
                  <c:v>-107.15450044902897</c:v>
                </c:pt>
                <c:pt idx="37">
                  <c:v>-106.12347682722972</c:v>
                </c:pt>
                <c:pt idx="38">
                  <c:v>-103.03825267414285</c:v>
                </c:pt>
                <c:pt idx="39">
                  <c:v>-97.922308408482792</c:v>
                </c:pt>
                <c:pt idx="40">
                  <c:v>-90.814579455202676</c:v>
                </c:pt>
                <c:pt idx="41">
                  <c:v>-81.769159923401105</c:v>
                </c:pt>
                <c:pt idx="42">
                  <c:v>-70.854890917488689</c:v>
                </c:pt>
                <c:pt idx="43">
                  <c:v>-58.154836614816389</c:v>
                </c:pt>
                <c:pt idx="44">
                  <c:v>-43.765652097129703</c:v>
                </c:pt>
                <c:pt idx="45">
                  <c:v>-27.796847747035685</c:v>
                </c:pt>
                <c:pt idx="46">
                  <c:v>-10.369955807866063</c:v>
                </c:pt>
                <c:pt idx="47">
                  <c:v>8.3823945500769241</c:v>
                </c:pt>
                <c:pt idx="48">
                  <c:v>28.317486617590674</c:v>
                </c:pt>
                <c:pt idx="49">
                  <c:v>49.283602306903688</c:v>
                </c:pt>
                <c:pt idx="50">
                  <c:v>71.121176817933517</c:v>
                </c:pt>
                <c:pt idx="51">
                  <c:v>93.664013022763442</c:v>
                </c:pt>
                <c:pt idx="52">
                  <c:v>116.7405463261376</c:v>
                </c:pt>
                <c:pt idx="53">
                  <c:v>140.17515037562575</c:v>
                </c:pt>
                <c:pt idx="54">
                  <c:v>163.78947368421049</c:v>
                </c:pt>
                <c:pt idx="55">
                  <c:v>187.40379699279524</c:v>
                </c:pt>
                <c:pt idx="56">
                  <c:v>210.83840104228341</c:v>
                </c:pt>
                <c:pt idx="57">
                  <c:v>233.9149343456578</c:v>
                </c:pt>
                <c:pt idx="58">
                  <c:v>256.45777055048723</c:v>
                </c:pt>
                <c:pt idx="59">
                  <c:v>278.29534506151731</c:v>
                </c:pt>
                <c:pt idx="60">
                  <c:v>299.26146075083034</c:v>
                </c:pt>
                <c:pt idx="61">
                  <c:v>319.19655281834412</c:v>
                </c:pt>
                <c:pt idx="62">
                  <c:v>337.9489031762871</c:v>
                </c:pt>
                <c:pt idx="63">
                  <c:v>355.3757951154567</c:v>
                </c:pt>
                <c:pt idx="64">
                  <c:v>371.34459946555074</c:v>
                </c:pt>
                <c:pt idx="65">
                  <c:v>385.73378398323734</c:v>
                </c:pt>
                <c:pt idx="66">
                  <c:v>398.4338382859097</c:v>
                </c:pt>
                <c:pt idx="67">
                  <c:v>409.34810729182209</c:v>
                </c:pt>
                <c:pt idx="68">
                  <c:v>418.3935268236238</c:v>
                </c:pt>
                <c:pt idx="69">
                  <c:v>425.50125577690392</c:v>
                </c:pt>
                <c:pt idx="70">
                  <c:v>430.61720004256392</c:v>
                </c:pt>
                <c:pt idx="71">
                  <c:v>433.70242419565079</c:v>
                </c:pt>
                <c:pt idx="72">
                  <c:v>434.73344781745004</c:v>
                </c:pt>
              </c:numCache>
            </c:numRef>
          </c:xVal>
          <c:yVal>
            <c:numRef>
              <c:f>'Sn +O2 O2 loss '!$T$3:$T$75</c:f>
              <c:numCache>
                <c:formatCode>General</c:formatCode>
                <c:ptCount val="73"/>
                <c:pt idx="0">
                  <c:v>485.52631578947364</c:v>
                </c:pt>
                <c:pt idx="1">
                  <c:v>509.14063909805839</c:v>
                </c:pt>
                <c:pt idx="2">
                  <c:v>532.57524314754664</c:v>
                </c:pt>
                <c:pt idx="3">
                  <c:v>555.65177645092081</c:v>
                </c:pt>
                <c:pt idx="4">
                  <c:v>578.19461265575046</c:v>
                </c:pt>
                <c:pt idx="5">
                  <c:v>600.03218716678032</c:v>
                </c:pt>
                <c:pt idx="6">
                  <c:v>620.99830285609335</c:v>
                </c:pt>
                <c:pt idx="7">
                  <c:v>640.93339492360724</c:v>
                </c:pt>
                <c:pt idx="8">
                  <c:v>659.68574528155023</c:v>
                </c:pt>
                <c:pt idx="9">
                  <c:v>677.11263722071976</c:v>
                </c:pt>
                <c:pt idx="10">
                  <c:v>693.08144157081392</c:v>
                </c:pt>
                <c:pt idx="11">
                  <c:v>707.47062608850047</c:v>
                </c:pt>
                <c:pt idx="12">
                  <c:v>720.17068039117294</c:v>
                </c:pt>
                <c:pt idx="13">
                  <c:v>731.08494939708521</c:v>
                </c:pt>
                <c:pt idx="14">
                  <c:v>740.13036892888681</c:v>
                </c:pt>
                <c:pt idx="15">
                  <c:v>747.23809788216704</c:v>
                </c:pt>
                <c:pt idx="16">
                  <c:v>752.35404214782704</c:v>
                </c:pt>
                <c:pt idx="17">
                  <c:v>755.43926630091391</c:v>
                </c:pt>
                <c:pt idx="18">
                  <c:v>756.47028992271316</c:v>
                </c:pt>
                <c:pt idx="19">
                  <c:v>755.43926630091391</c:v>
                </c:pt>
                <c:pt idx="20">
                  <c:v>752.35404214782704</c:v>
                </c:pt>
                <c:pt idx="21">
                  <c:v>747.23809788216704</c:v>
                </c:pt>
                <c:pt idx="22">
                  <c:v>740.13036892888681</c:v>
                </c:pt>
                <c:pt idx="23">
                  <c:v>731.08494939708532</c:v>
                </c:pt>
                <c:pt idx="24">
                  <c:v>720.17068039117294</c:v>
                </c:pt>
                <c:pt idx="25">
                  <c:v>707.47062608850058</c:v>
                </c:pt>
                <c:pt idx="26">
                  <c:v>693.08144157081392</c:v>
                </c:pt>
                <c:pt idx="27">
                  <c:v>677.11263722071988</c:v>
                </c:pt>
                <c:pt idx="28">
                  <c:v>659.68574528155023</c:v>
                </c:pt>
                <c:pt idx="29">
                  <c:v>640.93339492360724</c:v>
                </c:pt>
                <c:pt idx="30">
                  <c:v>620.99830285609335</c:v>
                </c:pt>
                <c:pt idx="31">
                  <c:v>600.03218716678043</c:v>
                </c:pt>
                <c:pt idx="32">
                  <c:v>578.19461265575057</c:v>
                </c:pt>
                <c:pt idx="33">
                  <c:v>555.65177645092081</c:v>
                </c:pt>
                <c:pt idx="34">
                  <c:v>532.57524314754653</c:v>
                </c:pt>
                <c:pt idx="35">
                  <c:v>509.14063909805856</c:v>
                </c:pt>
                <c:pt idx="36">
                  <c:v>485.5263157894737</c:v>
                </c:pt>
                <c:pt idx="37">
                  <c:v>461.91199248088896</c:v>
                </c:pt>
                <c:pt idx="38">
                  <c:v>438.47738843140064</c:v>
                </c:pt>
                <c:pt idx="39">
                  <c:v>415.40085512802659</c:v>
                </c:pt>
                <c:pt idx="40">
                  <c:v>392.85801892319682</c:v>
                </c:pt>
                <c:pt idx="41">
                  <c:v>371.02044441216697</c:v>
                </c:pt>
                <c:pt idx="42">
                  <c:v>350.05432872285382</c:v>
                </c:pt>
                <c:pt idx="43">
                  <c:v>330.11923665534016</c:v>
                </c:pt>
                <c:pt idx="44">
                  <c:v>311.36688629739706</c:v>
                </c:pt>
                <c:pt idx="45">
                  <c:v>293.93999435822747</c:v>
                </c:pt>
                <c:pt idx="46">
                  <c:v>277.97119000813342</c:v>
                </c:pt>
                <c:pt idx="47">
                  <c:v>263.58200549044682</c:v>
                </c:pt>
                <c:pt idx="48">
                  <c:v>250.88195118777446</c:v>
                </c:pt>
                <c:pt idx="49">
                  <c:v>239.96768218186207</c:v>
                </c:pt>
                <c:pt idx="50">
                  <c:v>230.92226265006047</c:v>
                </c:pt>
                <c:pt idx="51">
                  <c:v>223.8145336967803</c:v>
                </c:pt>
                <c:pt idx="52">
                  <c:v>218.69858943112024</c:v>
                </c:pt>
                <c:pt idx="53">
                  <c:v>215.61336527803337</c:v>
                </c:pt>
                <c:pt idx="54">
                  <c:v>214.58234165623412</c:v>
                </c:pt>
                <c:pt idx="55">
                  <c:v>215.61336527803337</c:v>
                </c:pt>
                <c:pt idx="56">
                  <c:v>218.69858943112018</c:v>
                </c:pt>
                <c:pt idx="57">
                  <c:v>223.81453369678036</c:v>
                </c:pt>
                <c:pt idx="58">
                  <c:v>230.92226265006039</c:v>
                </c:pt>
                <c:pt idx="59">
                  <c:v>239.96768218186202</c:v>
                </c:pt>
                <c:pt idx="60">
                  <c:v>250.8819511877744</c:v>
                </c:pt>
                <c:pt idx="61">
                  <c:v>263.58200549044676</c:v>
                </c:pt>
                <c:pt idx="62">
                  <c:v>277.97119000813336</c:v>
                </c:pt>
                <c:pt idx="63">
                  <c:v>293.93999435822741</c:v>
                </c:pt>
                <c:pt idx="64">
                  <c:v>311.366886297397</c:v>
                </c:pt>
                <c:pt idx="65">
                  <c:v>330.11923665533999</c:v>
                </c:pt>
                <c:pt idx="66">
                  <c:v>350.05432872285377</c:v>
                </c:pt>
                <c:pt idx="67">
                  <c:v>371.02044441216674</c:v>
                </c:pt>
                <c:pt idx="68">
                  <c:v>392.85801892319682</c:v>
                </c:pt>
                <c:pt idx="69">
                  <c:v>415.40085512802654</c:v>
                </c:pt>
                <c:pt idx="70">
                  <c:v>438.47738843140041</c:v>
                </c:pt>
                <c:pt idx="71">
                  <c:v>461.91199248088884</c:v>
                </c:pt>
                <c:pt idx="72">
                  <c:v>485.52631578947359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71-4954-9BAF-E043E6ED73C9}"/>
            </c:ext>
          </c:extLst>
        </c:ser>
        <c:ser>
          <c:idx val="1"/>
          <c:order val="1"/>
          <c:tx>
            <c:strRef>
              <c:f>'Sn +O2 O2 loss 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'Sn +O2 O2 loss 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'Sn +O2 O2 loss '!$J$3:$J$4</c:f>
              <c:numCache>
                <c:formatCode>General</c:formatCode>
                <c:ptCount val="2"/>
                <c:pt idx="0">
                  <c:v>0</c:v>
                </c:pt>
                <c:pt idx="1">
                  <c:v>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71-4954-9BAF-E043E6ED73C9}"/>
            </c:ext>
          </c:extLst>
        </c:ser>
        <c:ser>
          <c:idx val="2"/>
          <c:order val="2"/>
          <c:tx>
            <c:strRef>
              <c:f>'Sn +O2 O2 loss 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'Sn +O2 O2 loss 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778</c:v>
                </c:pt>
              </c:numCache>
            </c:numRef>
          </c:xVal>
          <c:yVal>
            <c:numRef>
              <c:f>'Sn +O2 O2 loss 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71-4954-9BAF-E043E6ED73C9}"/>
            </c:ext>
          </c:extLst>
        </c:ser>
        <c:ser>
          <c:idx val="3"/>
          <c:order val="3"/>
          <c:tx>
            <c:strRef>
              <c:f>'Sn +O2 O2 loss 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'Sn +O2 O2 loss 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778</c:v>
                </c:pt>
              </c:numCache>
            </c:numRef>
          </c:xVal>
          <c:yVal>
            <c:numRef>
              <c:f>'Sn +O2 O2 loss '!$V$3:$V$4</c:f>
              <c:numCache>
                <c:formatCode>General</c:formatCode>
                <c:ptCount val="2"/>
                <c:pt idx="0">
                  <c:v>615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71-4954-9BAF-E043E6ED73C9}"/>
            </c:ext>
          </c:extLst>
        </c:ser>
        <c:ser>
          <c:idx val="4"/>
          <c:order val="4"/>
          <c:tx>
            <c:strRef>
              <c:f>'Sn +O2 O2 loss 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'Sn +O2 O2 loss '!$M$3:$M$4</c:f>
              <c:numCache>
                <c:formatCode>General</c:formatCode>
                <c:ptCount val="2"/>
                <c:pt idx="0">
                  <c:v>0</c:v>
                </c:pt>
                <c:pt idx="1">
                  <c:v>163.78947368421055</c:v>
                </c:pt>
              </c:numCache>
            </c:numRef>
          </c:xVal>
          <c:yVal>
            <c:numRef>
              <c:f>'Sn +O2 O2 loss '!$N$3:$N$4</c:f>
              <c:numCache>
                <c:formatCode>General</c:formatCode>
                <c:ptCount val="2"/>
                <c:pt idx="0">
                  <c:v>0</c:v>
                </c:pt>
                <c:pt idx="1">
                  <c:v>485.52631578947364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71-4954-9BAF-E043E6ED73C9}"/>
            </c:ext>
          </c:extLst>
        </c:ser>
        <c:ser>
          <c:idx val="5"/>
          <c:order val="5"/>
          <c:tx>
            <c:strRef>
              <c:f>'Sn +O2 O2 loss 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'Sn +O2 O2 loss '!$O$3:$O$4</c:f>
              <c:numCache>
                <c:formatCode>General</c:formatCode>
                <c:ptCount val="2"/>
                <c:pt idx="0">
                  <c:v>0</c:v>
                </c:pt>
                <c:pt idx="1">
                  <c:v>381.28598129142108</c:v>
                </c:pt>
              </c:numCache>
            </c:numRef>
          </c:xVal>
          <c:yVal>
            <c:numRef>
              <c:f>'Sn +O2 O2 loss '!$P$3:$P$4</c:f>
              <c:numCache>
                <c:formatCode>General</c:formatCode>
                <c:ptCount val="2"/>
                <c:pt idx="0">
                  <c:v>0</c:v>
                </c:pt>
                <c:pt idx="1">
                  <c:v>313.59784255241146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71-4954-9BAF-E043E6ED73C9}"/>
            </c:ext>
          </c:extLst>
        </c:ser>
        <c:ser>
          <c:idx val="6"/>
          <c:order val="6"/>
          <c:tx>
            <c:strRef>
              <c:f>'Sn +O2 O2 loss 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'Sn +O2 O2 loss '!$Q$3:$Q$4</c:f>
              <c:numCache>
                <c:formatCode>General</c:formatCode>
                <c:ptCount val="2"/>
                <c:pt idx="0">
                  <c:v>0</c:v>
                </c:pt>
                <c:pt idx="1">
                  <c:v>-178.45559789504918</c:v>
                </c:pt>
              </c:numCache>
            </c:numRef>
          </c:xVal>
          <c:yVal>
            <c:numRef>
              <c:f>'Sn +O2 O2 loss '!$R$3:$R$4</c:f>
              <c:numCache>
                <c:formatCode>General</c:formatCode>
                <c:ptCount val="2"/>
                <c:pt idx="0">
                  <c:v>0</c:v>
                </c:pt>
                <c:pt idx="1">
                  <c:v>756.06708573965977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E71-4954-9BAF-E043E6ED7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05150952729482E-2"/>
          <c:y val="6.1743773517504881E-2"/>
          <c:w val="0.66177433739731617"/>
          <c:h val="0.83811055907967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'C2Cl Hloss'!$S$2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'C2Cl Hloss'!$S$3:$S$75</c:f>
              <c:numCache>
                <c:formatCode>General</c:formatCode>
                <c:ptCount val="73"/>
                <c:pt idx="0">
                  <c:v>776.11865099040403</c:v>
                </c:pt>
                <c:pt idx="1">
                  <c:v>774.60507909051466</c:v>
                </c:pt>
                <c:pt idx="2">
                  <c:v>770.07588258692419</c:v>
                </c:pt>
                <c:pt idx="3">
                  <c:v>762.56553139982884</c:v>
                </c:pt>
                <c:pt idx="4">
                  <c:v>752.13118383663618</c:v>
                </c:pt>
                <c:pt idx="5">
                  <c:v>738.85225158273352</c:v>
                </c:pt>
                <c:pt idx="6">
                  <c:v>722.82979533061166</c:v>
                </c:pt>
                <c:pt idx="7">
                  <c:v>704.18575564697267</c:v>
                </c:pt>
                <c:pt idx="8">
                  <c:v>683.06202493138812</c:v>
                </c:pt>
                <c:pt idx="9">
                  <c:v>659.61936752946099</c:v>
                </c:pt>
                <c:pt idx="10">
                  <c:v>634.03619621908331</c:v>
                </c:pt>
                <c:pt idx="11">
                  <c:v>606.50721438146843</c:v>
                </c:pt>
                <c:pt idx="12">
                  <c:v>577.24193419085418</c:v>
                </c:pt>
                <c:pt idx="13">
                  <c:v>546.46308210035056</c:v>
                </c:pt>
                <c:pt idx="14">
                  <c:v>514.40490375914533</c:v>
                </c:pt>
                <c:pt idx="15">
                  <c:v>481.31138126167218</c:v>
                </c:pt>
                <c:pt idx="16">
                  <c:v>447.43437629655239</c:v>
                </c:pt>
                <c:pt idx="17">
                  <c:v>413.03171332706518</c:v>
                </c:pt>
                <c:pt idx="18">
                  <c:v>378.36521739130433</c:v>
                </c:pt>
                <c:pt idx="19">
                  <c:v>343.69872145554342</c:v>
                </c:pt>
                <c:pt idx="20">
                  <c:v>309.29605848605627</c:v>
                </c:pt>
                <c:pt idx="21">
                  <c:v>275.41905352093642</c:v>
                </c:pt>
                <c:pt idx="22">
                  <c:v>242.32553102346338</c:v>
                </c:pt>
                <c:pt idx="23">
                  <c:v>210.26735268225815</c:v>
                </c:pt>
                <c:pt idx="24">
                  <c:v>179.48850059175456</c:v>
                </c:pt>
                <c:pt idx="25">
                  <c:v>150.2232204011404</c:v>
                </c:pt>
                <c:pt idx="26">
                  <c:v>122.69423856352537</c:v>
                </c:pt>
                <c:pt idx="27">
                  <c:v>97.11106725314778</c:v>
                </c:pt>
                <c:pt idx="28">
                  <c:v>73.668409851220645</c:v>
                </c:pt>
                <c:pt idx="29">
                  <c:v>52.544679135636159</c:v>
                </c:pt>
                <c:pt idx="30">
                  <c:v>33.900639451997051</c:v>
                </c:pt>
                <c:pt idx="31">
                  <c:v>17.878183199875195</c:v>
                </c:pt>
                <c:pt idx="32">
                  <c:v>4.5992509459725852</c:v>
                </c:pt>
                <c:pt idx="33">
                  <c:v>-5.8350966172200742</c:v>
                </c:pt>
                <c:pt idx="34">
                  <c:v>-13.34544780431554</c:v>
                </c:pt>
                <c:pt idx="35">
                  <c:v>-17.874644307905953</c:v>
                </c:pt>
                <c:pt idx="36">
                  <c:v>-19.388216207795381</c:v>
                </c:pt>
                <c:pt idx="37">
                  <c:v>-17.874644307905953</c:v>
                </c:pt>
                <c:pt idx="38">
                  <c:v>-13.34544780431554</c:v>
                </c:pt>
                <c:pt idx="39">
                  <c:v>-5.8350966172201879</c:v>
                </c:pt>
                <c:pt idx="40">
                  <c:v>4.5992509459725284</c:v>
                </c:pt>
                <c:pt idx="41">
                  <c:v>17.878183199875139</c:v>
                </c:pt>
                <c:pt idx="42">
                  <c:v>33.900639451997108</c:v>
                </c:pt>
                <c:pt idx="43">
                  <c:v>52.544679135635931</c:v>
                </c:pt>
                <c:pt idx="44">
                  <c:v>73.668409851220588</c:v>
                </c:pt>
                <c:pt idx="45">
                  <c:v>97.111067253147723</c:v>
                </c:pt>
                <c:pt idx="46">
                  <c:v>122.69423856352532</c:v>
                </c:pt>
                <c:pt idx="47">
                  <c:v>150.22322040114017</c:v>
                </c:pt>
                <c:pt idx="48">
                  <c:v>179.4885005917543</c:v>
                </c:pt>
                <c:pt idx="49">
                  <c:v>210.26735268225789</c:v>
                </c:pt>
                <c:pt idx="50">
                  <c:v>242.32553102346313</c:v>
                </c:pt>
                <c:pt idx="51">
                  <c:v>275.41905352093647</c:v>
                </c:pt>
                <c:pt idx="52">
                  <c:v>309.29605848605627</c:v>
                </c:pt>
                <c:pt idx="53">
                  <c:v>343.69872145554342</c:v>
                </c:pt>
                <c:pt idx="54">
                  <c:v>378.36521739130427</c:v>
                </c:pt>
                <c:pt idx="55">
                  <c:v>413.03171332706506</c:v>
                </c:pt>
                <c:pt idx="56">
                  <c:v>447.43437629655222</c:v>
                </c:pt>
                <c:pt idx="57">
                  <c:v>481.31138126167235</c:v>
                </c:pt>
                <c:pt idx="58">
                  <c:v>514.4049037591451</c:v>
                </c:pt>
                <c:pt idx="59">
                  <c:v>546.46308210035068</c:v>
                </c:pt>
                <c:pt idx="60">
                  <c:v>577.24193419085418</c:v>
                </c:pt>
                <c:pt idx="61">
                  <c:v>606.50721438146843</c:v>
                </c:pt>
                <c:pt idx="62">
                  <c:v>634.03619621908319</c:v>
                </c:pt>
                <c:pt idx="63">
                  <c:v>659.61936752946076</c:v>
                </c:pt>
                <c:pt idx="64">
                  <c:v>683.0620249313879</c:v>
                </c:pt>
                <c:pt idx="65">
                  <c:v>704.18575564697244</c:v>
                </c:pt>
                <c:pt idx="66">
                  <c:v>722.82979533061143</c:v>
                </c:pt>
                <c:pt idx="67">
                  <c:v>738.8522515827334</c:v>
                </c:pt>
                <c:pt idx="68">
                  <c:v>752.13118383663618</c:v>
                </c:pt>
                <c:pt idx="69">
                  <c:v>762.56553139982884</c:v>
                </c:pt>
                <c:pt idx="70">
                  <c:v>770.07588258692408</c:v>
                </c:pt>
                <c:pt idx="71">
                  <c:v>774.60507909051466</c:v>
                </c:pt>
                <c:pt idx="72">
                  <c:v>776.11865099040403</c:v>
                </c:pt>
              </c:numCache>
            </c:numRef>
          </c:xVal>
          <c:yVal>
            <c:numRef>
              <c:f>'C2Cl Hloss'!$T$3:$T$75</c:f>
              <c:numCache>
                <c:formatCode>General</c:formatCode>
                <c:ptCount val="73"/>
                <c:pt idx="0">
                  <c:v>846.52173913043475</c:v>
                </c:pt>
                <c:pt idx="1">
                  <c:v>881.1882350661956</c:v>
                </c:pt>
                <c:pt idx="2">
                  <c:v>915.59089803568281</c:v>
                </c:pt>
                <c:pt idx="3">
                  <c:v>949.46790300080261</c:v>
                </c:pt>
                <c:pt idx="4">
                  <c:v>982.56142549827564</c:v>
                </c:pt>
                <c:pt idx="5">
                  <c:v>1014.619603839481</c:v>
                </c:pt>
                <c:pt idx="6">
                  <c:v>1045.3984559299845</c:v>
                </c:pt>
                <c:pt idx="7">
                  <c:v>1074.6637361205987</c:v>
                </c:pt>
                <c:pt idx="8">
                  <c:v>1102.1927179582137</c:v>
                </c:pt>
                <c:pt idx="9">
                  <c:v>1127.7758892685913</c:v>
                </c:pt>
                <c:pt idx="10">
                  <c:v>1151.2185466705184</c:v>
                </c:pt>
                <c:pt idx="11">
                  <c:v>1172.342277386103</c:v>
                </c:pt>
                <c:pt idx="12">
                  <c:v>1190.986317069742</c:v>
                </c:pt>
                <c:pt idx="13">
                  <c:v>1207.0087733218638</c:v>
                </c:pt>
                <c:pt idx="14">
                  <c:v>1220.2877055757665</c:v>
                </c:pt>
                <c:pt idx="15">
                  <c:v>1230.7220531389592</c:v>
                </c:pt>
                <c:pt idx="16">
                  <c:v>1238.2324043260546</c:v>
                </c:pt>
                <c:pt idx="17">
                  <c:v>1242.761600829645</c:v>
                </c:pt>
                <c:pt idx="18">
                  <c:v>1244.2751727295345</c:v>
                </c:pt>
                <c:pt idx="19">
                  <c:v>1242.761600829645</c:v>
                </c:pt>
                <c:pt idx="20">
                  <c:v>1238.2324043260546</c:v>
                </c:pt>
                <c:pt idx="21">
                  <c:v>1230.7220531389592</c:v>
                </c:pt>
                <c:pt idx="22">
                  <c:v>1220.2877055757665</c:v>
                </c:pt>
                <c:pt idx="23">
                  <c:v>1207.0087733218638</c:v>
                </c:pt>
                <c:pt idx="24">
                  <c:v>1190.986317069742</c:v>
                </c:pt>
                <c:pt idx="25">
                  <c:v>1172.3422773861032</c:v>
                </c:pt>
                <c:pt idx="26">
                  <c:v>1151.2185466705184</c:v>
                </c:pt>
                <c:pt idx="27">
                  <c:v>1127.7758892685913</c:v>
                </c:pt>
                <c:pt idx="28">
                  <c:v>1102.1927179582137</c:v>
                </c:pt>
                <c:pt idx="29">
                  <c:v>1074.663736120599</c:v>
                </c:pt>
                <c:pt idx="30">
                  <c:v>1045.3984559299845</c:v>
                </c:pt>
                <c:pt idx="31">
                  <c:v>1014.619603839481</c:v>
                </c:pt>
                <c:pt idx="32">
                  <c:v>982.56142549827575</c:v>
                </c:pt>
                <c:pt idx="33">
                  <c:v>949.46790300080272</c:v>
                </c:pt>
                <c:pt idx="34">
                  <c:v>915.59089803568281</c:v>
                </c:pt>
                <c:pt idx="35">
                  <c:v>881.18823506619583</c:v>
                </c:pt>
                <c:pt idx="36">
                  <c:v>846.52173913043475</c:v>
                </c:pt>
                <c:pt idx="37">
                  <c:v>811.85524319467402</c:v>
                </c:pt>
                <c:pt idx="38">
                  <c:v>777.45258022518669</c:v>
                </c:pt>
                <c:pt idx="39">
                  <c:v>743.57557526006701</c:v>
                </c:pt>
                <c:pt idx="40">
                  <c:v>710.48205276259387</c:v>
                </c:pt>
                <c:pt idx="41">
                  <c:v>678.42387442138852</c:v>
                </c:pt>
                <c:pt idx="42">
                  <c:v>647.64502233088479</c:v>
                </c:pt>
                <c:pt idx="43">
                  <c:v>618.37974214027076</c:v>
                </c:pt>
                <c:pt idx="44">
                  <c:v>590.85076030265577</c:v>
                </c:pt>
                <c:pt idx="45">
                  <c:v>565.26758899227821</c:v>
                </c:pt>
                <c:pt idx="46">
                  <c:v>541.82493159035107</c:v>
                </c:pt>
                <c:pt idx="47">
                  <c:v>520.70120087476653</c:v>
                </c:pt>
                <c:pt idx="48">
                  <c:v>502.05716119112765</c:v>
                </c:pt>
                <c:pt idx="49">
                  <c:v>486.03470493900568</c:v>
                </c:pt>
                <c:pt idx="50">
                  <c:v>472.75577268510301</c:v>
                </c:pt>
                <c:pt idx="51">
                  <c:v>462.32142512191029</c:v>
                </c:pt>
                <c:pt idx="52">
                  <c:v>454.81107393481489</c:v>
                </c:pt>
                <c:pt idx="53">
                  <c:v>450.28187743122447</c:v>
                </c:pt>
                <c:pt idx="54">
                  <c:v>448.76830553133505</c:v>
                </c:pt>
                <c:pt idx="55">
                  <c:v>450.28187743122447</c:v>
                </c:pt>
                <c:pt idx="56">
                  <c:v>454.81107393481483</c:v>
                </c:pt>
                <c:pt idx="57">
                  <c:v>462.32142512191035</c:v>
                </c:pt>
                <c:pt idx="58">
                  <c:v>472.7557726851029</c:v>
                </c:pt>
                <c:pt idx="59">
                  <c:v>486.03470493900562</c:v>
                </c:pt>
                <c:pt idx="60">
                  <c:v>502.05716119112753</c:v>
                </c:pt>
                <c:pt idx="61">
                  <c:v>520.70120087476653</c:v>
                </c:pt>
                <c:pt idx="62">
                  <c:v>541.82493159035096</c:v>
                </c:pt>
                <c:pt idx="63">
                  <c:v>565.26758899227821</c:v>
                </c:pt>
                <c:pt idx="64">
                  <c:v>590.85076030265577</c:v>
                </c:pt>
                <c:pt idx="65">
                  <c:v>618.37974214027054</c:v>
                </c:pt>
                <c:pt idx="66">
                  <c:v>647.64502233088479</c:v>
                </c:pt>
                <c:pt idx="67">
                  <c:v>678.42387442138829</c:v>
                </c:pt>
                <c:pt idx="68">
                  <c:v>710.48205276259387</c:v>
                </c:pt>
                <c:pt idx="69">
                  <c:v>743.5755752600669</c:v>
                </c:pt>
                <c:pt idx="70">
                  <c:v>777.45258022518635</c:v>
                </c:pt>
                <c:pt idx="71">
                  <c:v>811.85524319467379</c:v>
                </c:pt>
                <c:pt idx="72">
                  <c:v>846.52173913043464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9-44B9-90EA-46FC5ED764E4}"/>
            </c:ext>
          </c:extLst>
        </c:ser>
        <c:ser>
          <c:idx val="1"/>
          <c:order val="1"/>
          <c:tx>
            <c:strRef>
              <c:f>'C2Cl Hloss'!$I$2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'C2Cl Hloss'!$I$3:$I$4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'C2Cl Hloss'!$J$3:$J$4</c:f>
              <c:numCache>
                <c:formatCode>General</c:formatCode>
                <c:ptCount val="2"/>
                <c:pt idx="0">
                  <c:v>0</c:v>
                </c:pt>
                <c:pt idx="1">
                  <c:v>1650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D9-44B9-90EA-46FC5ED764E4}"/>
            </c:ext>
          </c:extLst>
        </c:ser>
        <c:ser>
          <c:idx val="2"/>
          <c:order val="2"/>
          <c:tx>
            <c:strRef>
              <c:f>'C2Cl Hloss'!$K$2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'C2Cl Hloss'!$K$3:$K$4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'C2Cl Hloss'!$L$3:$L$4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D9-44B9-90EA-46FC5ED764E4}"/>
            </c:ext>
          </c:extLst>
        </c:ser>
        <c:ser>
          <c:idx val="3"/>
          <c:order val="3"/>
          <c:tx>
            <c:strRef>
              <c:f>'C2Cl Hloss'!$U$2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'C2Cl Hloss'!$U$3:$U$4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'C2Cl Hloss'!$V$3:$V$4</c:f>
              <c:numCache>
                <c:formatCode>General</c:formatCode>
                <c:ptCount val="2"/>
                <c:pt idx="0">
                  <c:v>1650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D9-44B9-90EA-46FC5ED764E4}"/>
            </c:ext>
          </c:extLst>
        </c:ser>
        <c:ser>
          <c:idx val="4"/>
          <c:order val="4"/>
          <c:tx>
            <c:strRef>
              <c:f>'C2Cl Hloss'!$M$2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'C2Cl Hloss'!$M$3:$M$4</c:f>
              <c:numCache>
                <c:formatCode>General</c:formatCode>
                <c:ptCount val="2"/>
                <c:pt idx="0">
                  <c:v>0</c:v>
                </c:pt>
                <c:pt idx="1">
                  <c:v>378.36521739130433</c:v>
                </c:pt>
              </c:numCache>
            </c:numRef>
          </c:xVal>
          <c:yVal>
            <c:numRef>
              <c:f>'C2Cl Hloss'!$N$3:$N$4</c:f>
              <c:numCache>
                <c:formatCode>General</c:formatCode>
                <c:ptCount val="2"/>
                <c:pt idx="0">
                  <c:v>0</c:v>
                </c:pt>
                <c:pt idx="1">
                  <c:v>846.52173913043475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D9-44B9-90EA-46FC5ED764E4}"/>
            </c:ext>
          </c:extLst>
        </c:ser>
        <c:ser>
          <c:idx val="5"/>
          <c:order val="5"/>
          <c:tx>
            <c:strRef>
              <c:f>'C2Cl Hloss'!$O$2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'C2Cl Hloss'!$O$3:$O$4</c:f>
              <c:numCache>
                <c:formatCode>General</c:formatCode>
                <c:ptCount val="2"/>
                <c:pt idx="0">
                  <c:v>0</c:v>
                </c:pt>
                <c:pt idx="1">
                  <c:v>554.04760081342999</c:v>
                </c:pt>
              </c:numCache>
            </c:numRef>
          </c:xVal>
          <c:yVal>
            <c:numRef>
              <c:f>'C2Cl Hloss'!$P$3:$P$4</c:f>
              <c:numCache>
                <c:formatCode>General</c:formatCode>
                <c:ptCount val="2"/>
                <c:pt idx="0">
                  <c:v>0</c:v>
                </c:pt>
                <c:pt idx="1">
                  <c:v>473.4510407436814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D9-44B9-90EA-46FC5ED764E4}"/>
            </c:ext>
          </c:extLst>
        </c:ser>
        <c:ser>
          <c:idx val="6"/>
          <c:order val="6"/>
          <c:tx>
            <c:strRef>
              <c:f>'C2Cl Hloss'!$Q$2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'C2Cl Hloss'!$Q$3:$Q$4</c:f>
              <c:numCache>
                <c:formatCode>General</c:formatCode>
                <c:ptCount val="2"/>
                <c:pt idx="0">
                  <c:v>0</c:v>
                </c:pt>
                <c:pt idx="1">
                  <c:v>-39.949707657637973</c:v>
                </c:pt>
              </c:numCache>
            </c:numRef>
          </c:xVal>
          <c:yVal>
            <c:numRef>
              <c:f>'C2Cl Hloss'!$R$3:$R$4</c:f>
              <c:numCache>
                <c:formatCode>General</c:formatCode>
                <c:ptCount val="2"/>
                <c:pt idx="0">
                  <c:v>0</c:v>
                </c:pt>
                <c:pt idx="1">
                  <c:v>1734.8352865316635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D9-44B9-90EA-46FC5ED76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333374</xdr:colOff>
      <xdr:row>0</xdr:row>
      <xdr:rowOff>76199</xdr:rowOff>
    </xdr:from>
    <xdr:to>
      <xdr:col>17</xdr:col>
      <xdr:colOff>47625</xdr:colOff>
      <xdr:row>35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333374</xdr:colOff>
      <xdr:row>0</xdr:row>
      <xdr:rowOff>76199</xdr:rowOff>
    </xdr:from>
    <xdr:to>
      <xdr:col>17</xdr:col>
      <xdr:colOff>47625</xdr:colOff>
      <xdr:row>35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5"/>
  <sheetViews>
    <sheetView tabSelected="1" topLeftCell="C1" zoomScale="130" zoomScaleNormal="130" workbookViewId="0">
      <selection activeCell="G31" sqref="G31"/>
    </sheetView>
  </sheetViews>
  <sheetFormatPr defaultColWidth="9" defaultRowHeight="14.4"/>
  <cols>
    <col min="1" max="1" width="15.6640625" style="1" bestFit="1" customWidth="1"/>
    <col min="2" max="2" width="19.109375" style="1" customWidth="1"/>
    <col min="3" max="4" width="12.44140625" style="1" bestFit="1" customWidth="1"/>
    <col min="5" max="5" width="16.6640625" style="1" customWidth="1"/>
    <col min="6" max="6" width="9.109375" style="1" bestFit="1" customWidth="1"/>
    <col min="7" max="7" width="11.5546875" style="1" bestFit="1" customWidth="1"/>
    <col min="8" max="16384" width="9" style="1"/>
  </cols>
  <sheetData>
    <row r="1" spans="1:22">
      <c r="A1" s="1" t="s">
        <v>0</v>
      </c>
      <c r="B1" s="1" t="s">
        <v>1</v>
      </c>
    </row>
    <row r="2" spans="1:22" ht="15" thickBot="1">
      <c r="I2" s="34" t="s">
        <v>16</v>
      </c>
      <c r="J2" s="34"/>
      <c r="K2" s="34" t="s">
        <v>17</v>
      </c>
      <c r="L2" s="34"/>
      <c r="M2" s="34" t="s">
        <v>4</v>
      </c>
      <c r="N2" s="34"/>
      <c r="O2" s="34" t="s">
        <v>14</v>
      </c>
      <c r="P2" s="34"/>
      <c r="Q2" s="34" t="s">
        <v>15</v>
      </c>
      <c r="R2" s="34"/>
      <c r="S2" s="34" t="s">
        <v>18</v>
      </c>
      <c r="T2" s="34"/>
      <c r="U2" s="34" t="s">
        <v>20</v>
      </c>
      <c r="V2" s="34"/>
    </row>
    <row r="3" spans="1:22" ht="15" thickBot="1">
      <c r="A3" s="2"/>
      <c r="B3" s="9">
        <v>1</v>
      </c>
      <c r="C3" s="9">
        <v>2</v>
      </c>
      <c r="D3" s="9">
        <v>3</v>
      </c>
      <c r="E3" s="10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 t="shared" ref="S3:S66" si="0">$M$4+COS((ROW()-3)*5*PI()/180)*$B$15</f>
        <v>434.73344781745004</v>
      </c>
      <c r="T3" s="1">
        <f t="shared" ref="T3:T66" si="1">$N$4+SIN((ROW()-3)*5*PI()/180)*$B$15</f>
        <v>485.52631578947364</v>
      </c>
      <c r="U3" s="1">
        <v>0</v>
      </c>
      <c r="V3" s="1">
        <f>J4</f>
        <v>615</v>
      </c>
    </row>
    <row r="4" spans="1:22" ht="15" thickTop="1">
      <c r="A4" s="7" t="s">
        <v>2</v>
      </c>
      <c r="B4" s="12" t="s">
        <v>45</v>
      </c>
      <c r="C4" s="13" t="s">
        <v>46</v>
      </c>
      <c r="D4" s="13"/>
      <c r="E4" s="14"/>
      <c r="I4" s="1">
        <v>0</v>
      </c>
      <c r="J4" s="1">
        <f>B9</f>
        <v>615</v>
      </c>
      <c r="K4" s="3">
        <f>C9</f>
        <v>778</v>
      </c>
      <c r="L4" s="1">
        <v>0</v>
      </c>
      <c r="M4" s="1">
        <f>J4/(TAN(PI()/2-D18)+J4/K4)</f>
        <v>163.78947368421055</v>
      </c>
      <c r="N4" s="1">
        <f>M4*TAN(PI()/2-D18)</f>
        <v>485.52631578947364</v>
      </c>
      <c r="O4" s="1">
        <f>J4/(TAN(PI()/2-D19)+J4/K4)</f>
        <v>381.28598129142108</v>
      </c>
      <c r="P4" s="1">
        <f>O4*TAN(PI()/2-D19)</f>
        <v>313.59784255241146</v>
      </c>
      <c r="Q4" s="1">
        <f>J4/(TAN(PI()/2-D20)+J4/K4)</f>
        <v>-178.45559789504918</v>
      </c>
      <c r="R4" s="1">
        <f>Q4*TAN(PI()/2-D20)</f>
        <v>756.06708573965977</v>
      </c>
      <c r="S4" s="1">
        <f t="shared" si="0"/>
        <v>433.70242419565079</v>
      </c>
      <c r="T4" s="1">
        <f t="shared" si="1"/>
        <v>509.14063909805839</v>
      </c>
      <c r="U4" s="3">
        <f>K4</f>
        <v>778</v>
      </c>
      <c r="V4" s="1">
        <v>0</v>
      </c>
    </row>
    <row r="5" spans="1:22">
      <c r="A5" s="7" t="s">
        <v>3</v>
      </c>
      <c r="B5" s="15" t="s">
        <v>44</v>
      </c>
      <c r="C5" s="11" t="s">
        <v>47</v>
      </c>
      <c r="D5" s="11" t="s">
        <v>48</v>
      </c>
      <c r="E5" s="16" t="s">
        <v>49</v>
      </c>
      <c r="S5" s="1">
        <f t="shared" si="0"/>
        <v>430.61720004256392</v>
      </c>
      <c r="T5" s="1">
        <f t="shared" si="1"/>
        <v>532.57524314754664</v>
      </c>
    </row>
    <row r="6" spans="1:22">
      <c r="A6" s="7" t="s">
        <v>10</v>
      </c>
      <c r="B6" s="15">
        <v>120</v>
      </c>
      <c r="C6" s="11">
        <v>32</v>
      </c>
      <c r="D6" s="11">
        <v>136</v>
      </c>
      <c r="E6" s="17">
        <v>16</v>
      </c>
      <c r="F6" s="1">
        <f>B6+C6-D6-E6</f>
        <v>0</v>
      </c>
      <c r="S6" s="1">
        <f t="shared" si="0"/>
        <v>425.50125577690392</v>
      </c>
      <c r="T6" s="1">
        <f t="shared" si="1"/>
        <v>555.65177645092081</v>
      </c>
    </row>
    <row r="7" spans="1:22">
      <c r="A7" s="7" t="s">
        <v>25</v>
      </c>
      <c r="B7" s="15">
        <v>301</v>
      </c>
      <c r="C7" s="11">
        <v>0</v>
      </c>
      <c r="D7" s="28">
        <v>15</v>
      </c>
      <c r="E7" s="16">
        <v>250</v>
      </c>
      <c r="F7" s="1">
        <f>D7+E7-B7-C7</f>
        <v>-36</v>
      </c>
      <c r="S7" s="1">
        <f t="shared" si="0"/>
        <v>418.3935268236238</v>
      </c>
      <c r="T7" s="1">
        <f t="shared" si="1"/>
        <v>578.19461265575046</v>
      </c>
    </row>
    <row r="8" spans="1:22" ht="15" thickBot="1">
      <c r="A8" s="8" t="s">
        <v>22</v>
      </c>
      <c r="B8" s="18"/>
      <c r="C8" s="19"/>
      <c r="D8" s="20"/>
      <c r="E8" s="21"/>
      <c r="S8" s="1">
        <f t="shared" si="0"/>
        <v>409.3481072918222</v>
      </c>
      <c r="T8" s="1">
        <f t="shared" si="1"/>
        <v>600.03218716678032</v>
      </c>
    </row>
    <row r="9" spans="1:22">
      <c r="A9" s="1" t="s">
        <v>13</v>
      </c>
      <c r="B9" s="33">
        <v>615</v>
      </c>
      <c r="C9" s="33">
        <v>778</v>
      </c>
      <c r="S9" s="1">
        <f t="shared" si="0"/>
        <v>398.43383828590981</v>
      </c>
      <c r="T9" s="1">
        <f t="shared" si="1"/>
        <v>620.99830285609335</v>
      </c>
    </row>
    <row r="10" spans="1:22">
      <c r="S10" s="1">
        <f t="shared" si="0"/>
        <v>385.73378398323746</v>
      </c>
      <c r="T10" s="1">
        <f t="shared" si="1"/>
        <v>640.93339492360724</v>
      </c>
    </row>
    <row r="11" spans="1:22">
      <c r="A11" s="1" t="s">
        <v>12</v>
      </c>
      <c r="B11" s="5">
        <v>16.2</v>
      </c>
      <c r="C11" s="5">
        <v>8.5</v>
      </c>
      <c r="S11" s="1">
        <f t="shared" si="0"/>
        <v>371.3445994655508</v>
      </c>
      <c r="T11" s="1">
        <f t="shared" si="1"/>
        <v>659.68574528155023</v>
      </c>
    </row>
    <row r="12" spans="1:22">
      <c r="A12" s="1" t="s">
        <v>8</v>
      </c>
      <c r="B12" s="5">
        <v>35000</v>
      </c>
      <c r="C12" s="26" t="s">
        <v>21</v>
      </c>
      <c r="S12" s="1">
        <f t="shared" si="0"/>
        <v>355.37579511545675</v>
      </c>
      <c r="T12" s="1">
        <f t="shared" si="1"/>
        <v>677.11263722071976</v>
      </c>
    </row>
    <row r="13" spans="1:22">
      <c r="A13" s="1" t="s">
        <v>6</v>
      </c>
      <c r="B13" s="1">
        <f>0.5*B6*C6*0.001*(B9*B9+C9*C9)/(B6+C6)</f>
        <v>12423.271578947368</v>
      </c>
      <c r="C13" s="26" t="s">
        <v>24</v>
      </c>
      <c r="S13" s="1">
        <f t="shared" si="0"/>
        <v>337.9489031762871</v>
      </c>
      <c r="T13" s="1">
        <f t="shared" si="1"/>
        <v>693.08144157081392</v>
      </c>
    </row>
    <row r="14" spans="1:22">
      <c r="A14" s="1" t="s">
        <v>5</v>
      </c>
      <c r="B14" s="1">
        <f>((B12+B13)*2*1000*(B6+C6)/D6/E6)^0.5</f>
        <v>2573.9677542657755</v>
      </c>
      <c r="C14" s="26"/>
      <c r="S14" s="1">
        <f t="shared" si="0"/>
        <v>319.19655281834412</v>
      </c>
      <c r="T14" s="1">
        <f t="shared" si="1"/>
        <v>707.47062608850047</v>
      </c>
    </row>
    <row r="15" spans="1:22">
      <c r="A15" s="1" t="s">
        <v>7</v>
      </c>
      <c r="B15" s="1">
        <f>E6*B14/(D6+E6)</f>
        <v>270.94397413323952</v>
      </c>
      <c r="C15" s="26" t="s">
        <v>9</v>
      </c>
      <c r="S15" s="1">
        <f t="shared" si="0"/>
        <v>299.26146075083034</v>
      </c>
      <c r="T15" s="1">
        <f t="shared" si="1"/>
        <v>720.17068039117294</v>
      </c>
    </row>
    <row r="16" spans="1:22">
      <c r="A16" s="1" t="s">
        <v>11</v>
      </c>
      <c r="B16" s="1">
        <f>(B6^2*B9^2+C6^2*C9^2)^0.5/(B6+C6)</f>
        <v>512.40881629207979</v>
      </c>
      <c r="C16" s="26" t="s">
        <v>9</v>
      </c>
      <c r="S16" s="1">
        <f t="shared" si="0"/>
        <v>278.29534506151725</v>
      </c>
      <c r="T16" s="1">
        <f t="shared" si="1"/>
        <v>731.08494939708521</v>
      </c>
    </row>
    <row r="17" spans="1:20">
      <c r="A17" s="1" t="s">
        <v>23</v>
      </c>
      <c r="B17" s="1">
        <v>0.75</v>
      </c>
      <c r="C17" s="26"/>
      <c r="S17" s="1">
        <f t="shared" si="0"/>
        <v>256.45777055048745</v>
      </c>
      <c r="T17" s="1">
        <f t="shared" si="1"/>
        <v>740.13036892888681</v>
      </c>
    </row>
    <row r="18" spans="1:20">
      <c r="A18" s="22" t="s">
        <v>4</v>
      </c>
      <c r="B18" s="32">
        <f>ATAN(C6*C9/B6/B9)*180/PI()+$B$17</f>
        <v>19.391523155235532</v>
      </c>
      <c r="C18" s="26" t="s">
        <v>19</v>
      </c>
      <c r="D18" s="1">
        <f>ATAN(C6*C9/B6/B9)</f>
        <v>0.32535595664562206</v>
      </c>
      <c r="S18" s="1">
        <f t="shared" si="0"/>
        <v>233.91493434565768</v>
      </c>
      <c r="T18" s="1">
        <f t="shared" si="1"/>
        <v>747.23809788216704</v>
      </c>
    </row>
    <row r="19" spans="1:20">
      <c r="A19" s="22" t="s">
        <v>14</v>
      </c>
      <c r="B19" s="24">
        <f>ATAN(C6*C9/B6/B9)*180/PI()+$B$17+ASIN(B15/B16)*180/PI()</f>
        <v>51.313588578410446</v>
      </c>
      <c r="C19" s="26" t="s">
        <v>19</v>
      </c>
      <c r="D19" s="1">
        <f>ATAN(C6*C9/B6/B9)+ASIN(B15/B16)</f>
        <v>0.88250110231706125</v>
      </c>
      <c r="S19" s="1">
        <f t="shared" si="0"/>
        <v>210.83840104228352</v>
      </c>
      <c r="T19" s="1">
        <f t="shared" si="1"/>
        <v>752.35404214782704</v>
      </c>
    </row>
    <row r="20" spans="1:20">
      <c r="A20" s="22" t="s">
        <v>15</v>
      </c>
      <c r="B20" s="24">
        <f>ATAN(C6*C9/B6/B9)*180/PI()+$B$17-ASIN(B15/B16)*180/PI()</f>
        <v>-12.530542267939378</v>
      </c>
      <c r="C20" s="26" t="s">
        <v>19</v>
      </c>
      <c r="D20" s="1">
        <f>ATAN(C6*C9/B6/B9)-ASIN(B15/B16)</f>
        <v>-0.23178918902581708</v>
      </c>
      <c r="S20" s="1">
        <f t="shared" si="0"/>
        <v>187.40379699279532</v>
      </c>
      <c r="T20" s="1">
        <f t="shared" si="1"/>
        <v>755.43926630091391</v>
      </c>
    </row>
    <row r="21" spans="1:20">
      <c r="S21" s="1">
        <f t="shared" si="0"/>
        <v>163.78947368421058</v>
      </c>
      <c r="T21" s="1">
        <f t="shared" si="1"/>
        <v>756.47028992271316</v>
      </c>
    </row>
    <row r="22" spans="1:20">
      <c r="S22" s="1">
        <f t="shared" si="0"/>
        <v>140.17515037562575</v>
      </c>
      <c r="T22" s="1">
        <f t="shared" si="1"/>
        <v>755.43926630091391</v>
      </c>
    </row>
    <row r="23" spans="1:20">
      <c r="S23" s="1">
        <f t="shared" si="0"/>
        <v>116.7405463261376</v>
      </c>
      <c r="T23" s="1">
        <f t="shared" si="1"/>
        <v>752.35404214782704</v>
      </c>
    </row>
    <row r="24" spans="1:20">
      <c r="S24" s="1">
        <f t="shared" si="0"/>
        <v>93.664013022763385</v>
      </c>
      <c r="T24" s="1">
        <f t="shared" si="1"/>
        <v>747.23809788216704</v>
      </c>
    </row>
    <row r="25" spans="1:20">
      <c r="S25" s="1">
        <f t="shared" si="0"/>
        <v>71.121176817933687</v>
      </c>
      <c r="T25" s="1">
        <f t="shared" si="1"/>
        <v>740.13036892888681</v>
      </c>
    </row>
    <row r="26" spans="1:20">
      <c r="S26" s="1">
        <f t="shared" si="0"/>
        <v>49.283602306903859</v>
      </c>
      <c r="T26" s="1">
        <f t="shared" si="1"/>
        <v>731.08494939708532</v>
      </c>
    </row>
    <row r="27" spans="1:20">
      <c r="S27" s="1">
        <f t="shared" si="0"/>
        <v>28.317486617590845</v>
      </c>
      <c r="T27" s="1">
        <f t="shared" si="1"/>
        <v>720.17068039117294</v>
      </c>
    </row>
    <row r="28" spans="1:20">
      <c r="S28" s="1">
        <f t="shared" si="0"/>
        <v>8.3823945500770947</v>
      </c>
      <c r="T28" s="1">
        <f t="shared" si="1"/>
        <v>707.47062608850058</v>
      </c>
    </row>
    <row r="29" spans="1:20">
      <c r="S29" s="1">
        <f t="shared" si="0"/>
        <v>-10.369955807866035</v>
      </c>
      <c r="T29" s="1">
        <f t="shared" si="1"/>
        <v>693.08144157081392</v>
      </c>
    </row>
    <row r="30" spans="1:20">
      <c r="S30" s="1">
        <f t="shared" si="0"/>
        <v>-27.796847747035628</v>
      </c>
      <c r="T30" s="1">
        <f t="shared" si="1"/>
        <v>677.11263722071988</v>
      </c>
    </row>
    <row r="31" spans="1:20">
      <c r="S31" s="1">
        <f t="shared" si="0"/>
        <v>-43.765652097129674</v>
      </c>
      <c r="T31" s="1">
        <f t="shared" si="1"/>
        <v>659.68574528155023</v>
      </c>
    </row>
    <row r="32" spans="1:20">
      <c r="D32" s="29"/>
      <c r="E32" s="29" t="s">
        <v>35</v>
      </c>
      <c r="F32" s="29" t="s">
        <v>12</v>
      </c>
      <c r="G32" s="29" t="s">
        <v>13</v>
      </c>
      <c r="S32" s="1">
        <f t="shared" si="0"/>
        <v>-58.154836614816247</v>
      </c>
      <c r="T32" s="1">
        <f t="shared" si="1"/>
        <v>640.93339492360724</v>
      </c>
    </row>
    <row r="33" spans="1:20">
      <c r="D33" s="29" t="s">
        <v>42</v>
      </c>
      <c r="E33" s="30">
        <f>STDEV(E37:E64)</f>
        <v>21.500528534729728</v>
      </c>
      <c r="F33" s="31">
        <f>STDEV(F37:F64)</f>
        <v>0.64939132340145334</v>
      </c>
      <c r="G33" s="30">
        <f>STDEV(G37:G64)</f>
        <v>22.085290832278638</v>
      </c>
      <c r="S33" s="1">
        <f t="shared" si="0"/>
        <v>-70.854890917488717</v>
      </c>
      <c r="T33" s="1">
        <f t="shared" si="1"/>
        <v>620.99830285609335</v>
      </c>
    </row>
    <row r="34" spans="1:20">
      <c r="D34" s="29" t="s">
        <v>43</v>
      </c>
      <c r="E34" s="30">
        <f>AVERAGE(E37:E64)</f>
        <v>639.5454545454545</v>
      </c>
      <c r="F34" s="31">
        <f>AVERAGE(F37:F64)</f>
        <v>8.4990909090909081</v>
      </c>
      <c r="G34" s="30">
        <f>AVERAGE(G37:G64)</f>
        <v>631.16737632329921</v>
      </c>
      <c r="S34" s="1">
        <f t="shared" si="0"/>
        <v>-81.769159923401077</v>
      </c>
      <c r="T34" s="1">
        <f t="shared" si="1"/>
        <v>600.03218716678043</v>
      </c>
    </row>
    <row r="35" spans="1:20">
      <c r="S35" s="1">
        <f t="shared" si="0"/>
        <v>-90.814579455202647</v>
      </c>
      <c r="T35" s="1">
        <f t="shared" si="1"/>
        <v>578.19461265575057</v>
      </c>
    </row>
    <row r="36" spans="1:20">
      <c r="A36" s="4" t="s">
        <v>26</v>
      </c>
      <c r="B36" s="4">
        <f>B37-1000000/480+B39/2-(B40/2-B41-B42)-0.0155*1000000/(B43*(B44+SQRT(B44*B44+4))/(B44+SQRT(B44*B44+8)))</f>
        <v>-291.56053545181555</v>
      </c>
      <c r="E36" s="5" t="s">
        <v>35</v>
      </c>
      <c r="F36" s="5" t="s">
        <v>12</v>
      </c>
      <c r="G36" s="5" t="s">
        <v>13</v>
      </c>
      <c r="H36" s="5"/>
      <c r="I36" s="5" t="s">
        <v>13</v>
      </c>
      <c r="J36" s="5" t="s">
        <v>32</v>
      </c>
      <c r="K36" s="5" t="s">
        <v>35</v>
      </c>
      <c r="S36" s="1">
        <f t="shared" si="0"/>
        <v>-97.922308408482735</v>
      </c>
      <c r="T36" s="1">
        <f t="shared" si="1"/>
        <v>555.65177645092081</v>
      </c>
    </row>
    <row r="37" spans="1:20">
      <c r="A37" s="4" t="s">
        <v>27</v>
      </c>
      <c r="B37" s="27">
        <v>1800</v>
      </c>
      <c r="E37" s="1">
        <v>655</v>
      </c>
      <c r="F37" s="1">
        <v>8.25</v>
      </c>
      <c r="G37" s="1">
        <f>E37*(F37+SQRT(F37*F37+4))/(F37+SQRT(F37*F37+8))</f>
        <v>646.02995736910839</v>
      </c>
      <c r="I37" s="1">
        <v>845</v>
      </c>
      <c r="J37" s="1">
        <v>11</v>
      </c>
      <c r="K37" s="1">
        <f>I37/((J37+SQRT(J37*J37+4))/(J37+SQRT(J37*J37+8)))</f>
        <v>851.76129852953136</v>
      </c>
      <c r="S37" s="1">
        <f t="shared" si="0"/>
        <v>-103.03825267414285</v>
      </c>
      <c r="T37" s="1">
        <f t="shared" si="1"/>
        <v>532.57524314754653</v>
      </c>
    </row>
    <row r="38" spans="1:20">
      <c r="A38" s="4" t="s">
        <v>28</v>
      </c>
      <c r="B38" s="4">
        <v>480</v>
      </c>
      <c r="E38" s="1">
        <v>623</v>
      </c>
      <c r="F38" s="1">
        <v>8.6999999999999993</v>
      </c>
      <c r="G38" s="1">
        <f t="shared" ref="G38:G47" si="2">E38*(F38+SQRT(F38*F38+4))/(F38+SQRT(F38*F38+8))</f>
        <v>615.27548649430503</v>
      </c>
      <c r="I38" s="1">
        <v>890</v>
      </c>
      <c r="J38" s="1">
        <v>7</v>
      </c>
      <c r="K38" s="1">
        <f t="shared" ref="K38:K51" si="3">I38/((J38+SQRT(J38*J38+4))/(J38+SQRT(J38*J38+8)))</f>
        <v>906.81043407876757</v>
      </c>
      <c r="S38" s="1">
        <f t="shared" si="0"/>
        <v>-106.12347682722972</v>
      </c>
      <c r="T38" s="1">
        <f t="shared" si="1"/>
        <v>509.14063909805856</v>
      </c>
    </row>
    <row r="39" spans="1:20">
      <c r="A39" s="4" t="s">
        <v>34</v>
      </c>
      <c r="B39" s="27">
        <v>25</v>
      </c>
      <c r="E39" s="1">
        <v>674</v>
      </c>
      <c r="F39" s="6">
        <v>8.5</v>
      </c>
      <c r="G39" s="1">
        <f t="shared" si="2"/>
        <v>665.27063162590343</v>
      </c>
      <c r="I39" s="1">
        <v>860</v>
      </c>
      <c r="J39" s="1">
        <v>16.600000000000001</v>
      </c>
      <c r="K39" s="1">
        <f t="shared" si="3"/>
        <v>863.07638079457433</v>
      </c>
      <c r="S39" s="1">
        <f t="shared" si="0"/>
        <v>-107.15450044902897</v>
      </c>
      <c r="T39" s="1">
        <f t="shared" si="1"/>
        <v>485.5263157894737</v>
      </c>
    </row>
    <row r="40" spans="1:20">
      <c r="A40" s="4" t="s">
        <v>33</v>
      </c>
      <c r="B40" s="27">
        <v>7.2</v>
      </c>
      <c r="E40" s="1">
        <v>652</v>
      </c>
      <c r="F40" s="1">
        <v>8.8699999999999992</v>
      </c>
      <c r="G40" s="1">
        <f t="shared" si="2"/>
        <v>644.20474184692409</v>
      </c>
      <c r="I40" s="1">
        <v>715</v>
      </c>
      <c r="J40" s="1">
        <v>8.5</v>
      </c>
      <c r="K40" s="1">
        <f t="shared" si="3"/>
        <v>724.38189375987486</v>
      </c>
      <c r="S40" s="1">
        <f t="shared" si="0"/>
        <v>-106.12347682722972</v>
      </c>
      <c r="T40" s="1">
        <f t="shared" si="1"/>
        <v>461.91199248088896</v>
      </c>
    </row>
    <row r="41" spans="1:20">
      <c r="A41" s="4" t="s">
        <v>29</v>
      </c>
      <c r="B41" s="4">
        <v>0.15</v>
      </c>
      <c r="E41" s="1">
        <v>645</v>
      </c>
      <c r="F41" s="1">
        <v>9.3000000000000007</v>
      </c>
      <c r="G41" s="1">
        <f t="shared" si="2"/>
        <v>637.94749224528209</v>
      </c>
      <c r="I41" s="1">
        <v>880</v>
      </c>
      <c r="J41" s="1">
        <v>10</v>
      </c>
      <c r="K41" s="1">
        <f t="shared" si="3"/>
        <v>888.46388700458874</v>
      </c>
      <c r="S41" s="1">
        <f t="shared" si="0"/>
        <v>-103.03825267414285</v>
      </c>
      <c r="T41" s="1">
        <f t="shared" si="1"/>
        <v>438.47738843140064</v>
      </c>
    </row>
    <row r="42" spans="1:20">
      <c r="A42" s="4" t="s">
        <v>30</v>
      </c>
      <c r="B42" s="4">
        <v>7.1</v>
      </c>
      <c r="E42" s="1">
        <v>654</v>
      </c>
      <c r="F42" s="1">
        <v>9</v>
      </c>
      <c r="G42" s="1">
        <f t="shared" si="2"/>
        <v>646.3922247565074</v>
      </c>
      <c r="I42" s="1">
        <v>1740</v>
      </c>
      <c r="J42" s="1">
        <v>8.1</v>
      </c>
      <c r="K42" s="1">
        <f t="shared" si="3"/>
        <v>1765.0119079187446</v>
      </c>
      <c r="S42" s="1">
        <f t="shared" si="0"/>
        <v>-97.922308408482792</v>
      </c>
      <c r="T42" s="1">
        <f t="shared" si="1"/>
        <v>415.40085512802659</v>
      </c>
    </row>
    <row r="43" spans="1:20">
      <c r="A43" s="4" t="s">
        <v>31</v>
      </c>
      <c r="B43" s="27">
        <v>644</v>
      </c>
      <c r="E43" s="1">
        <v>603</v>
      </c>
      <c r="F43" s="1">
        <v>7.4</v>
      </c>
      <c r="G43" s="1">
        <f t="shared" si="2"/>
        <v>592.90099975724922</v>
      </c>
      <c r="I43" s="1">
        <v>982</v>
      </c>
      <c r="J43" s="1">
        <v>5.6</v>
      </c>
      <c r="K43" s="1">
        <f t="shared" si="3"/>
        <v>1009.8385210671111</v>
      </c>
      <c r="S43" s="1">
        <f t="shared" si="0"/>
        <v>-90.814579455202676</v>
      </c>
      <c r="T43" s="1">
        <f t="shared" si="1"/>
        <v>392.85801892319682</v>
      </c>
    </row>
    <row r="44" spans="1:20">
      <c r="A44" s="4" t="s">
        <v>32</v>
      </c>
      <c r="B44" s="27">
        <v>8.6</v>
      </c>
      <c r="E44" s="1">
        <v>648</v>
      </c>
      <c r="F44" s="1">
        <v>8.9600000000000009</v>
      </c>
      <c r="G44" s="1">
        <f t="shared" si="2"/>
        <v>640.39846882055042</v>
      </c>
      <c r="I44" s="1">
        <v>778</v>
      </c>
      <c r="J44" s="1">
        <v>15.6</v>
      </c>
      <c r="K44" s="1">
        <f t="shared" si="3"/>
        <v>781.1453676825239</v>
      </c>
      <c r="S44" s="1">
        <f t="shared" si="0"/>
        <v>-81.769159923401105</v>
      </c>
      <c r="T44" s="1">
        <f t="shared" si="1"/>
        <v>371.02044441216697</v>
      </c>
    </row>
    <row r="45" spans="1:20">
      <c r="E45" s="1">
        <v>647</v>
      </c>
      <c r="F45" s="1">
        <v>9.1</v>
      </c>
      <c r="G45" s="1">
        <f t="shared" si="2"/>
        <v>639.62891608869063</v>
      </c>
      <c r="I45" s="1">
        <v>1735</v>
      </c>
      <c r="J45" s="1">
        <v>19</v>
      </c>
      <c r="K45" s="1">
        <f t="shared" si="3"/>
        <v>1739.7535317024506</v>
      </c>
      <c r="S45" s="1">
        <f t="shared" si="0"/>
        <v>-70.854890917488689</v>
      </c>
      <c r="T45" s="1">
        <f t="shared" si="1"/>
        <v>350.05432872285382</v>
      </c>
    </row>
    <row r="46" spans="1:20">
      <c r="E46" s="1">
        <v>622</v>
      </c>
      <c r="F46" s="1">
        <v>7.56</v>
      </c>
      <c r="G46" s="1">
        <f t="shared" si="2"/>
        <v>611.98462047199212</v>
      </c>
      <c r="I46" s="1">
        <v>2644</v>
      </c>
      <c r="J46" s="1">
        <v>3.3</v>
      </c>
      <c r="K46" s="1">
        <f t="shared" si="3"/>
        <v>2824.0546211535025</v>
      </c>
      <c r="S46" s="1">
        <f t="shared" si="0"/>
        <v>-58.154836614816389</v>
      </c>
      <c r="T46" s="1">
        <f t="shared" si="1"/>
        <v>330.11923665534016</v>
      </c>
    </row>
    <row r="47" spans="1:20">
      <c r="E47" s="1">
        <v>612</v>
      </c>
      <c r="F47" s="1">
        <v>7.85</v>
      </c>
      <c r="G47" s="1">
        <f t="shared" si="2"/>
        <v>602.80760007977824</v>
      </c>
      <c r="I47" s="1">
        <v>1581</v>
      </c>
      <c r="J47" s="1">
        <v>2.5</v>
      </c>
      <c r="K47" s="1">
        <f t="shared" si="3"/>
        <v>1739.9870271543989</v>
      </c>
      <c r="S47" s="1">
        <f t="shared" si="0"/>
        <v>-43.765652097129703</v>
      </c>
      <c r="T47" s="1">
        <f t="shared" si="1"/>
        <v>311.36688629739706</v>
      </c>
    </row>
    <row r="48" spans="1:20">
      <c r="I48" s="1">
        <v>90</v>
      </c>
      <c r="J48" s="1">
        <v>9.5</v>
      </c>
      <c r="K48" s="1">
        <f t="shared" si="3"/>
        <v>90.955229920873251</v>
      </c>
      <c r="S48" s="1">
        <f t="shared" si="0"/>
        <v>-27.796847747035685</v>
      </c>
      <c r="T48" s="1">
        <f t="shared" si="1"/>
        <v>293.93999435822747</v>
      </c>
    </row>
    <row r="49" spans="5:20">
      <c r="I49" s="1">
        <v>710</v>
      </c>
      <c r="J49" s="1">
        <v>10</v>
      </c>
      <c r="K49" s="1">
        <f t="shared" si="3"/>
        <v>716.82881792415674</v>
      </c>
      <c r="S49" s="1">
        <f t="shared" si="0"/>
        <v>-10.369955807866063</v>
      </c>
      <c r="T49" s="1">
        <f t="shared" si="1"/>
        <v>277.97119000813342</v>
      </c>
    </row>
    <row r="50" spans="5:20">
      <c r="I50" s="1">
        <v>730</v>
      </c>
      <c r="J50" s="1">
        <v>8</v>
      </c>
      <c r="K50" s="1">
        <f t="shared" si="3"/>
        <v>740.74227012646406</v>
      </c>
      <c r="S50" s="1">
        <f t="shared" si="0"/>
        <v>8.3823945500769241</v>
      </c>
      <c r="T50" s="1">
        <f t="shared" si="1"/>
        <v>263.58200549044682</v>
      </c>
    </row>
    <row r="51" spans="5:20">
      <c r="E51" s="6"/>
      <c r="I51" s="1">
        <v>746</v>
      </c>
      <c r="J51" s="1">
        <v>17.3</v>
      </c>
      <c r="K51" s="1">
        <f t="shared" si="3"/>
        <v>748.45977227089656</v>
      </c>
      <c r="S51" s="1">
        <f t="shared" si="0"/>
        <v>28.317486617590674</v>
      </c>
      <c r="T51" s="1">
        <f t="shared" si="1"/>
        <v>250.88195118777446</v>
      </c>
    </row>
    <row r="52" spans="5:20">
      <c r="S52" s="1">
        <f t="shared" si="0"/>
        <v>49.283602306903688</v>
      </c>
      <c r="T52" s="1">
        <f t="shared" si="1"/>
        <v>239.96768218186207</v>
      </c>
    </row>
    <row r="53" spans="5:20">
      <c r="S53" s="1">
        <f t="shared" si="0"/>
        <v>71.121176817933517</v>
      </c>
      <c r="T53" s="1">
        <f t="shared" si="1"/>
        <v>230.92226265006047</v>
      </c>
    </row>
    <row r="54" spans="5:20">
      <c r="S54" s="1">
        <f t="shared" si="0"/>
        <v>93.664013022763442</v>
      </c>
      <c r="T54" s="1">
        <f t="shared" si="1"/>
        <v>223.8145336967803</v>
      </c>
    </row>
    <row r="55" spans="5:20">
      <c r="S55" s="1">
        <f t="shared" si="0"/>
        <v>116.7405463261376</v>
      </c>
      <c r="T55" s="1">
        <f t="shared" si="1"/>
        <v>218.69858943112024</v>
      </c>
    </row>
    <row r="56" spans="5:20">
      <c r="S56" s="1">
        <f t="shared" si="0"/>
        <v>140.17515037562575</v>
      </c>
      <c r="T56" s="1">
        <f t="shared" si="1"/>
        <v>215.61336527803337</v>
      </c>
    </row>
    <row r="57" spans="5:20">
      <c r="S57" s="1">
        <f t="shared" si="0"/>
        <v>163.78947368421049</v>
      </c>
      <c r="T57" s="1">
        <f t="shared" si="1"/>
        <v>214.58234165623412</v>
      </c>
    </row>
    <row r="58" spans="5:20">
      <c r="S58" s="1">
        <f t="shared" si="0"/>
        <v>187.40379699279524</v>
      </c>
      <c r="T58" s="1">
        <f t="shared" si="1"/>
        <v>215.61336527803337</v>
      </c>
    </row>
    <row r="59" spans="5:20">
      <c r="S59" s="1">
        <f t="shared" si="0"/>
        <v>210.83840104228341</v>
      </c>
      <c r="T59" s="1">
        <f t="shared" si="1"/>
        <v>218.69858943112018</v>
      </c>
    </row>
    <row r="60" spans="5:20">
      <c r="S60" s="1">
        <f t="shared" si="0"/>
        <v>233.9149343456578</v>
      </c>
      <c r="T60" s="1">
        <f t="shared" si="1"/>
        <v>223.81453369678036</v>
      </c>
    </row>
    <row r="61" spans="5:20">
      <c r="E61" s="6"/>
      <c r="S61" s="1">
        <f t="shared" si="0"/>
        <v>256.45777055048723</v>
      </c>
      <c r="T61" s="1">
        <f t="shared" si="1"/>
        <v>230.92226265006039</v>
      </c>
    </row>
    <row r="62" spans="5:20">
      <c r="S62" s="1">
        <f t="shared" si="0"/>
        <v>278.29534506151731</v>
      </c>
      <c r="T62" s="1">
        <f t="shared" si="1"/>
        <v>239.96768218186202</v>
      </c>
    </row>
    <row r="63" spans="5:20">
      <c r="S63" s="1">
        <f t="shared" si="0"/>
        <v>299.26146075083034</v>
      </c>
      <c r="T63" s="1">
        <f t="shared" si="1"/>
        <v>250.8819511877744</v>
      </c>
    </row>
    <row r="64" spans="5:20">
      <c r="S64" s="1">
        <f t="shared" si="0"/>
        <v>319.19655281834412</v>
      </c>
      <c r="T64" s="1">
        <f t="shared" si="1"/>
        <v>263.58200549044676</v>
      </c>
    </row>
    <row r="65" spans="19:20">
      <c r="S65" s="1">
        <f t="shared" si="0"/>
        <v>337.9489031762871</v>
      </c>
      <c r="T65" s="1">
        <f t="shared" si="1"/>
        <v>277.97119000813336</v>
      </c>
    </row>
    <row r="66" spans="19:20">
      <c r="S66" s="1">
        <f t="shared" si="0"/>
        <v>355.3757951154567</v>
      </c>
      <c r="T66" s="1">
        <f t="shared" si="1"/>
        <v>293.93999435822741</v>
      </c>
    </row>
    <row r="67" spans="19:20">
      <c r="S67" s="1">
        <f t="shared" ref="S67:S75" si="4">$M$4+COS((ROW()-3)*5*PI()/180)*$B$15</f>
        <v>371.34459946555074</v>
      </c>
      <c r="T67" s="1">
        <f t="shared" ref="T67:T75" si="5">$N$4+SIN((ROW()-3)*5*PI()/180)*$B$15</f>
        <v>311.366886297397</v>
      </c>
    </row>
    <row r="68" spans="19:20">
      <c r="S68" s="1">
        <f t="shared" si="4"/>
        <v>385.73378398323734</v>
      </c>
      <c r="T68" s="1">
        <f t="shared" si="5"/>
        <v>330.11923665533999</v>
      </c>
    </row>
    <row r="69" spans="19:20">
      <c r="S69" s="1">
        <f t="shared" si="4"/>
        <v>398.4338382859097</v>
      </c>
      <c r="T69" s="1">
        <f t="shared" si="5"/>
        <v>350.05432872285377</v>
      </c>
    </row>
    <row r="70" spans="19:20">
      <c r="S70" s="1">
        <f t="shared" si="4"/>
        <v>409.34810729182209</v>
      </c>
      <c r="T70" s="1">
        <f t="shared" si="5"/>
        <v>371.02044441216674</v>
      </c>
    </row>
    <row r="71" spans="19:20">
      <c r="S71" s="1">
        <f t="shared" si="4"/>
        <v>418.3935268236238</v>
      </c>
      <c r="T71" s="1">
        <f t="shared" si="5"/>
        <v>392.85801892319682</v>
      </c>
    </row>
    <row r="72" spans="19:20">
      <c r="S72" s="1">
        <f t="shared" si="4"/>
        <v>425.50125577690392</v>
      </c>
      <c r="T72" s="1">
        <f t="shared" si="5"/>
        <v>415.40085512802654</v>
      </c>
    </row>
    <row r="73" spans="19:20">
      <c r="S73" s="1">
        <f t="shared" si="4"/>
        <v>430.61720004256392</v>
      </c>
      <c r="T73" s="1">
        <f t="shared" si="5"/>
        <v>438.47738843140041</v>
      </c>
    </row>
    <row r="74" spans="19:20">
      <c r="S74" s="1">
        <f t="shared" si="4"/>
        <v>433.70242419565079</v>
      </c>
      <c r="T74" s="1">
        <f t="shared" si="5"/>
        <v>461.91199248088884</v>
      </c>
    </row>
    <row r="75" spans="19:20">
      <c r="S75" s="1">
        <f t="shared" si="4"/>
        <v>434.73344781745004</v>
      </c>
      <c r="T75" s="1">
        <f t="shared" si="5"/>
        <v>485.52631578947359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75"/>
  <sheetViews>
    <sheetView workbookViewId="0">
      <selection activeCell="D12" sqref="D12"/>
    </sheetView>
  </sheetViews>
  <sheetFormatPr defaultColWidth="9" defaultRowHeight="14.4"/>
  <cols>
    <col min="1" max="1" width="15.6640625" style="1" bestFit="1" customWidth="1"/>
    <col min="2" max="2" width="19.109375" style="1" customWidth="1"/>
    <col min="3" max="4" width="12.44140625" style="1" bestFit="1" customWidth="1"/>
    <col min="5" max="5" width="16.6640625" style="1" customWidth="1"/>
    <col min="6" max="16384" width="9" style="1"/>
  </cols>
  <sheetData>
    <row r="1" spans="1:22">
      <c r="A1" s="1" t="s">
        <v>0</v>
      </c>
      <c r="B1" s="1" t="s">
        <v>1</v>
      </c>
    </row>
    <row r="2" spans="1:22" ht="15" thickBot="1">
      <c r="I2" s="34" t="s">
        <v>16</v>
      </c>
      <c r="J2" s="34"/>
      <c r="K2" s="34" t="s">
        <v>17</v>
      </c>
      <c r="L2" s="34"/>
      <c r="M2" s="34" t="s">
        <v>4</v>
      </c>
      <c r="N2" s="34"/>
      <c r="O2" s="34" t="s">
        <v>14</v>
      </c>
      <c r="P2" s="34"/>
      <c r="Q2" s="34" t="s">
        <v>15</v>
      </c>
      <c r="R2" s="34"/>
      <c r="S2" s="34" t="s">
        <v>18</v>
      </c>
      <c r="T2" s="34"/>
      <c r="U2" s="34" t="s">
        <v>20</v>
      </c>
      <c r="V2" s="34"/>
    </row>
    <row r="3" spans="1:22" ht="15" thickBot="1">
      <c r="A3" s="2"/>
      <c r="B3" s="9">
        <v>1</v>
      </c>
      <c r="C3" s="9">
        <v>2</v>
      </c>
      <c r="D3" s="9">
        <v>3</v>
      </c>
      <c r="E3" s="10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 t="shared" ref="S3:S66" si="0">$M$4+COS((ROW()-3)*5*PI()/180)*$B$15</f>
        <v>776.11865099040403</v>
      </c>
      <c r="T3" s="1">
        <f t="shared" ref="T3:T66" si="1">$N$4+SIN((ROW()-3)*5*PI()/180)*$B$15</f>
        <v>846.52173913043475</v>
      </c>
      <c r="U3" s="1">
        <v>0</v>
      </c>
      <c r="V3" s="1">
        <f>J4</f>
        <v>1650</v>
      </c>
    </row>
    <row r="4" spans="1:22" ht="15" thickTop="1">
      <c r="A4" s="7" t="s">
        <v>2</v>
      </c>
      <c r="B4" s="12" t="s">
        <v>40</v>
      </c>
      <c r="C4" s="13" t="s">
        <v>37</v>
      </c>
      <c r="D4" s="13"/>
      <c r="E4" s="14"/>
      <c r="I4" s="1">
        <v>0</v>
      </c>
      <c r="J4" s="1">
        <f>B9</f>
        <v>1650</v>
      </c>
      <c r="K4" s="3">
        <f>C9</f>
        <v>777</v>
      </c>
      <c r="L4" s="1">
        <v>0</v>
      </c>
      <c r="M4" s="1">
        <f>J4/(TAN(PI()/2-D18)+J4/K4)</f>
        <v>378.36521739130433</v>
      </c>
      <c r="N4" s="1">
        <f>M4*TAN(PI()/2-D18)</f>
        <v>846.52173913043475</v>
      </c>
      <c r="O4" s="1">
        <f>J4/(TAN(PI()/2-D19)+J4/K4)</f>
        <v>554.04760081342999</v>
      </c>
      <c r="P4" s="1">
        <f>O4*TAN(PI()/2-D19)</f>
        <v>473.4510407436814</v>
      </c>
      <c r="Q4" s="1">
        <f>J4/(TAN(PI()/2-D20)+J4/K4)</f>
        <v>-39.949707657637973</v>
      </c>
      <c r="R4" s="1">
        <f>Q4*TAN(PI()/2-D20)</f>
        <v>1734.8352865316635</v>
      </c>
      <c r="S4" s="1">
        <f t="shared" si="0"/>
        <v>774.60507909051466</v>
      </c>
      <c r="T4" s="1">
        <f t="shared" si="1"/>
        <v>881.1882350661956</v>
      </c>
      <c r="U4" s="3">
        <f>K4</f>
        <v>777</v>
      </c>
      <c r="V4" s="1">
        <v>0</v>
      </c>
    </row>
    <row r="5" spans="1:22">
      <c r="A5" s="7" t="s">
        <v>3</v>
      </c>
      <c r="B5" s="15" t="s">
        <v>39</v>
      </c>
      <c r="C5" s="11" t="s">
        <v>36</v>
      </c>
      <c r="D5" s="11" t="s">
        <v>38</v>
      </c>
      <c r="E5" s="16" t="s">
        <v>41</v>
      </c>
      <c r="S5" s="1">
        <f t="shared" si="0"/>
        <v>770.07588258692419</v>
      </c>
      <c r="T5" s="1">
        <f t="shared" si="1"/>
        <v>915.59089803568281</v>
      </c>
    </row>
    <row r="6" spans="1:22">
      <c r="A6" s="7" t="s">
        <v>10</v>
      </c>
      <c r="B6" s="15">
        <v>59</v>
      </c>
      <c r="C6" s="11">
        <v>56</v>
      </c>
      <c r="D6" s="11">
        <v>79</v>
      </c>
      <c r="E6" s="17">
        <v>1</v>
      </c>
      <c r="F6" s="1">
        <f>B6+C6</f>
        <v>115</v>
      </c>
      <c r="S6" s="1">
        <f t="shared" si="0"/>
        <v>762.56553139982884</v>
      </c>
      <c r="T6" s="1">
        <f t="shared" si="1"/>
        <v>949.46790300080261</v>
      </c>
    </row>
    <row r="7" spans="1:22">
      <c r="A7" s="7" t="s">
        <v>25</v>
      </c>
      <c r="B7" s="15">
        <v>802</v>
      </c>
      <c r="C7" s="11">
        <v>-75</v>
      </c>
      <c r="D7" s="11">
        <v>464</v>
      </c>
      <c r="E7" s="16">
        <v>145</v>
      </c>
      <c r="F7" s="1">
        <f>D7+E7-B7-C7</f>
        <v>-118</v>
      </c>
      <c r="S7" s="1">
        <f t="shared" si="0"/>
        <v>752.13118383663618</v>
      </c>
      <c r="T7" s="1">
        <f t="shared" si="1"/>
        <v>982.56142549827564</v>
      </c>
    </row>
    <row r="8" spans="1:22" ht="15" thickBot="1">
      <c r="A8" s="8" t="s">
        <v>22</v>
      </c>
      <c r="B8" s="18">
        <v>1602</v>
      </c>
      <c r="C8" s="19">
        <v>727</v>
      </c>
      <c r="D8" s="20"/>
      <c r="E8" s="21"/>
      <c r="S8" s="1">
        <f t="shared" si="0"/>
        <v>738.85225158273352</v>
      </c>
      <c r="T8" s="1">
        <f t="shared" si="1"/>
        <v>1014.619603839481</v>
      </c>
    </row>
    <row r="9" spans="1:22">
      <c r="A9" s="1" t="s">
        <v>13</v>
      </c>
      <c r="B9" s="1">
        <v>1650</v>
      </c>
      <c r="C9" s="1">
        <v>777</v>
      </c>
      <c r="S9" s="1">
        <f t="shared" si="0"/>
        <v>722.82979533061166</v>
      </c>
      <c r="T9" s="1">
        <f t="shared" si="1"/>
        <v>1045.3984559299845</v>
      </c>
    </row>
    <row r="10" spans="1:22">
      <c r="S10" s="1">
        <f t="shared" si="0"/>
        <v>704.18575564697267</v>
      </c>
      <c r="T10" s="1">
        <f t="shared" si="1"/>
        <v>1074.6637361205987</v>
      </c>
    </row>
    <row r="11" spans="1:22">
      <c r="A11" s="1" t="s">
        <v>12</v>
      </c>
      <c r="B11" s="5">
        <v>10.7</v>
      </c>
      <c r="C11" s="5">
        <v>8.5</v>
      </c>
      <c r="S11" s="1">
        <f t="shared" si="0"/>
        <v>683.06202493138812</v>
      </c>
      <c r="T11" s="1">
        <f t="shared" si="1"/>
        <v>1102.1927179582137</v>
      </c>
    </row>
    <row r="12" spans="1:22">
      <c r="A12" s="1" t="s">
        <v>8</v>
      </c>
      <c r="B12" s="5">
        <v>300000</v>
      </c>
      <c r="C12" s="25" t="s">
        <v>21</v>
      </c>
      <c r="E12" s="1">
        <f>36+3+14+B6</f>
        <v>112</v>
      </c>
      <c r="S12" s="1">
        <f t="shared" si="0"/>
        <v>659.61936752946099</v>
      </c>
      <c r="T12" s="1">
        <f t="shared" si="1"/>
        <v>1127.7758892685913</v>
      </c>
    </row>
    <row r="13" spans="1:22">
      <c r="A13" s="1" t="s">
        <v>6</v>
      </c>
      <c r="B13" s="1">
        <f>0.5*B6*C6*0.001*(B9*B9+C9*C9)/(B6+C6)</f>
        <v>47782.002678260869</v>
      </c>
      <c r="C13" s="25" t="s">
        <v>24</v>
      </c>
      <c r="S13" s="1">
        <f t="shared" si="0"/>
        <v>634.03619621908331</v>
      </c>
      <c r="T13" s="1">
        <f t="shared" si="1"/>
        <v>1151.2185466705184</v>
      </c>
    </row>
    <row r="14" spans="1:22">
      <c r="A14" s="1" t="s">
        <v>5</v>
      </c>
      <c r="B14" s="1">
        <f>((B12+B13)*2*1000*(B6+C6)/D6/E6)^0.5</f>
        <v>31820.274687927977</v>
      </c>
      <c r="C14" s="25"/>
      <c r="S14" s="1">
        <f t="shared" si="0"/>
        <v>606.50721438146843</v>
      </c>
      <c r="T14" s="1">
        <f t="shared" si="1"/>
        <v>1172.342277386103</v>
      </c>
    </row>
    <row r="15" spans="1:22">
      <c r="A15" s="1" t="s">
        <v>7</v>
      </c>
      <c r="B15" s="1">
        <f>E6*B14/(D6+E6)</f>
        <v>397.75343359909971</v>
      </c>
      <c r="C15" s="25" t="s">
        <v>9</v>
      </c>
      <c r="S15" s="1">
        <f t="shared" si="0"/>
        <v>577.24193419085418</v>
      </c>
      <c r="T15" s="1">
        <f t="shared" si="1"/>
        <v>1190.986317069742</v>
      </c>
    </row>
    <row r="16" spans="1:22">
      <c r="A16" s="1" t="s">
        <v>11</v>
      </c>
      <c r="B16" s="1">
        <f>(B6^2*B9^2+C6^2*C9^2)^0.5/(B6+C6)</f>
        <v>927.23205970888694</v>
      </c>
      <c r="C16" s="25" t="s">
        <v>9</v>
      </c>
      <c r="S16" s="1">
        <f t="shared" si="0"/>
        <v>546.46308210035056</v>
      </c>
      <c r="T16" s="1">
        <f t="shared" si="1"/>
        <v>1207.0087733218638</v>
      </c>
    </row>
    <row r="17" spans="1:20">
      <c r="A17" s="1" t="s">
        <v>23</v>
      </c>
      <c r="B17" s="1">
        <v>0.75</v>
      </c>
      <c r="C17" s="25"/>
      <c r="S17" s="1">
        <f t="shared" si="0"/>
        <v>514.40490375914533</v>
      </c>
      <c r="T17" s="1">
        <f t="shared" si="1"/>
        <v>1220.2877055757665</v>
      </c>
    </row>
    <row r="18" spans="1:20">
      <c r="A18" s="22" t="s">
        <v>4</v>
      </c>
      <c r="B18" s="23" t="str">
        <f>TEXT(ATAN(C6*C9/B6/B9)*180/PI()+$B$17,"0.00")&amp;"°"</f>
        <v>24.83°</v>
      </c>
      <c r="C18" s="25" t="s">
        <v>19</v>
      </c>
      <c r="D18" s="1">
        <f>ATAN(C6*C9/B6/B9)</f>
        <v>0.42032678716021643</v>
      </c>
      <c r="S18" s="1">
        <f t="shared" si="0"/>
        <v>481.31138126167218</v>
      </c>
      <c r="T18" s="1">
        <f t="shared" si="1"/>
        <v>1230.7220531389592</v>
      </c>
    </row>
    <row r="19" spans="1:20">
      <c r="A19" s="22" t="s">
        <v>14</v>
      </c>
      <c r="B19" s="24" t="str">
        <f>TEXT(ATAN(C6*C9/B6/B9)*180/PI()+$B$17+ASIN(B15/B16)*180/PI(),"0.00")&amp;"°"</f>
        <v>50.24°</v>
      </c>
      <c r="C19" s="25" t="s">
        <v>19</v>
      </c>
      <c r="D19" s="1">
        <f>ATAN(C6*C9/B6/B9)+ASIN(B15/B16)</f>
        <v>0.86367745942031959</v>
      </c>
      <c r="S19" s="1">
        <f t="shared" si="0"/>
        <v>447.43437629655239</v>
      </c>
      <c r="T19" s="1">
        <f t="shared" si="1"/>
        <v>1238.2324043260546</v>
      </c>
    </row>
    <row r="20" spans="1:20">
      <c r="A20" s="22" t="s">
        <v>15</v>
      </c>
      <c r="B20" s="24" t="str">
        <f>TEXT(ATAN(C6*C9/B6/B9)*180/PI()+$B$17-ASIN(B15/B16)*180/PI(),"0.00")&amp;"°"</f>
        <v>-0.57°</v>
      </c>
      <c r="C20" s="25" t="s">
        <v>19</v>
      </c>
      <c r="D20" s="1">
        <f>ATAN(C6*C9/B6/B9)-ASIN(B15/B16)</f>
        <v>-2.3023885099886732E-2</v>
      </c>
      <c r="S20" s="1">
        <f t="shared" si="0"/>
        <v>413.03171332706518</v>
      </c>
      <c r="T20" s="1">
        <f t="shared" si="1"/>
        <v>1242.761600829645</v>
      </c>
    </row>
    <row r="21" spans="1:20">
      <c r="S21" s="1">
        <f t="shared" si="0"/>
        <v>378.36521739130433</v>
      </c>
      <c r="T21" s="1">
        <f t="shared" si="1"/>
        <v>1244.2751727295345</v>
      </c>
    </row>
    <row r="22" spans="1:20">
      <c r="S22" s="1">
        <f t="shared" si="0"/>
        <v>343.69872145554342</v>
      </c>
      <c r="T22" s="1">
        <f t="shared" si="1"/>
        <v>1242.761600829645</v>
      </c>
    </row>
    <row r="23" spans="1:20">
      <c r="S23" s="1">
        <f t="shared" si="0"/>
        <v>309.29605848605627</v>
      </c>
      <c r="T23" s="1">
        <f t="shared" si="1"/>
        <v>1238.2324043260546</v>
      </c>
    </row>
    <row r="24" spans="1:20">
      <c r="S24" s="1">
        <f t="shared" si="0"/>
        <v>275.41905352093642</v>
      </c>
      <c r="T24" s="1">
        <f t="shared" si="1"/>
        <v>1230.7220531389592</v>
      </c>
    </row>
    <row r="25" spans="1:20">
      <c r="S25" s="1">
        <f t="shared" si="0"/>
        <v>242.32553102346338</v>
      </c>
      <c r="T25" s="1">
        <f t="shared" si="1"/>
        <v>1220.2877055757665</v>
      </c>
    </row>
    <row r="26" spans="1:20">
      <c r="S26" s="1">
        <f t="shared" si="0"/>
        <v>210.26735268225815</v>
      </c>
      <c r="T26" s="1">
        <f t="shared" si="1"/>
        <v>1207.0087733218638</v>
      </c>
    </row>
    <row r="27" spans="1:20">
      <c r="S27" s="1">
        <f t="shared" si="0"/>
        <v>179.48850059175456</v>
      </c>
      <c r="T27" s="1">
        <f t="shared" si="1"/>
        <v>1190.986317069742</v>
      </c>
    </row>
    <row r="28" spans="1:20">
      <c r="S28" s="1">
        <f t="shared" si="0"/>
        <v>150.2232204011404</v>
      </c>
      <c r="T28" s="1">
        <f t="shared" si="1"/>
        <v>1172.3422773861032</v>
      </c>
    </row>
    <row r="29" spans="1:20">
      <c r="S29" s="1">
        <f t="shared" si="0"/>
        <v>122.69423856352537</v>
      </c>
      <c r="T29" s="1">
        <f t="shared" si="1"/>
        <v>1151.2185466705184</v>
      </c>
    </row>
    <row r="30" spans="1:20">
      <c r="S30" s="1">
        <f t="shared" si="0"/>
        <v>97.11106725314778</v>
      </c>
      <c r="T30" s="1">
        <f t="shared" si="1"/>
        <v>1127.7758892685913</v>
      </c>
    </row>
    <row r="31" spans="1:20">
      <c r="S31" s="1">
        <f t="shared" si="0"/>
        <v>73.668409851220645</v>
      </c>
      <c r="T31" s="1">
        <f t="shared" si="1"/>
        <v>1102.1927179582137</v>
      </c>
    </row>
    <row r="32" spans="1:20">
      <c r="S32" s="1">
        <f t="shared" si="0"/>
        <v>52.544679135636159</v>
      </c>
      <c r="T32" s="1">
        <f t="shared" si="1"/>
        <v>1074.663736120599</v>
      </c>
    </row>
    <row r="33" spans="1:20">
      <c r="S33" s="1">
        <f t="shared" si="0"/>
        <v>33.900639451997051</v>
      </c>
      <c r="T33" s="1">
        <f t="shared" si="1"/>
        <v>1045.3984559299845</v>
      </c>
    </row>
    <row r="34" spans="1:20">
      <c r="E34" s="1">
        <f>AVERAGE(E37:E50)</f>
        <v>1504</v>
      </c>
      <c r="F34" s="1">
        <f>AVERAGE(F37:F50)</f>
        <v>10.09375</v>
      </c>
      <c r="G34" s="1">
        <f>AVERAGE(G37:G43)</f>
        <v>1597.9330635350532</v>
      </c>
      <c r="S34" s="1">
        <f t="shared" si="0"/>
        <v>17.878183199875195</v>
      </c>
      <c r="T34" s="1">
        <f t="shared" si="1"/>
        <v>1014.619603839481</v>
      </c>
    </row>
    <row r="35" spans="1:20">
      <c r="S35" s="1">
        <f t="shared" si="0"/>
        <v>4.5992509459725852</v>
      </c>
      <c r="T35" s="1">
        <f t="shared" si="1"/>
        <v>982.56142549827575</v>
      </c>
    </row>
    <row r="36" spans="1:20">
      <c r="A36" s="4" t="s">
        <v>26</v>
      </c>
      <c r="B36" s="4">
        <f>B37-1000000/480+B39/2-(B40/2-B41-B42)-0.0155*1000000/(B43*(B44+SQRT(B44*B44+4))/(B44+SQRT(B44*B44+8)))</f>
        <v>-201.68170162074418</v>
      </c>
      <c r="E36" s="5" t="s">
        <v>35</v>
      </c>
      <c r="F36" s="5" t="s">
        <v>12</v>
      </c>
      <c r="G36" s="5" t="s">
        <v>13</v>
      </c>
      <c r="H36" s="5"/>
      <c r="I36" s="5" t="s">
        <v>13</v>
      </c>
      <c r="J36" s="5" t="s">
        <v>32</v>
      </c>
      <c r="K36" s="5" t="s">
        <v>35</v>
      </c>
      <c r="S36" s="1">
        <f t="shared" si="0"/>
        <v>-5.8350966172200742</v>
      </c>
      <c r="T36" s="1">
        <f t="shared" si="1"/>
        <v>949.46790300080272</v>
      </c>
    </row>
    <row r="37" spans="1:20">
      <c r="A37" s="4" t="s">
        <v>27</v>
      </c>
      <c r="B37" s="4">
        <v>1883</v>
      </c>
      <c r="E37" s="1">
        <v>1595</v>
      </c>
      <c r="F37" s="1">
        <v>9.6</v>
      </c>
      <c r="G37" s="1">
        <f t="shared" ref="G37:G44" si="2">E37*(F37+SQRT(F37*F37+4))/(F37+SQRT(F37*F37+8))</f>
        <v>1578.5785039297007</v>
      </c>
      <c r="I37" s="1">
        <v>845</v>
      </c>
      <c r="J37" s="1">
        <v>11</v>
      </c>
      <c r="K37" s="1">
        <f>I37/((J37+SQRT(J37*J37+4))/(J37+SQRT(J37*J37+8)))</f>
        <v>851.76129852953136</v>
      </c>
      <c r="S37" s="1">
        <f t="shared" si="0"/>
        <v>-13.34544780431554</v>
      </c>
      <c r="T37" s="1">
        <f t="shared" si="1"/>
        <v>915.59089803568281</v>
      </c>
    </row>
    <row r="38" spans="1:20">
      <c r="A38" s="4" t="s">
        <v>28</v>
      </c>
      <c r="B38" s="4">
        <v>480</v>
      </c>
      <c r="E38" s="1">
        <v>1628</v>
      </c>
      <c r="F38" s="1">
        <v>10</v>
      </c>
      <c r="G38" s="1">
        <f t="shared" si="2"/>
        <v>1612.4909756659595</v>
      </c>
      <c r="I38" s="1">
        <v>890</v>
      </c>
      <c r="J38" s="1">
        <v>7</v>
      </c>
      <c r="K38" s="1">
        <f t="shared" ref="K38:K51" si="3">I38/((J38+SQRT(J38*J38+4))/(J38+SQRT(J38*J38+8)))</f>
        <v>906.81043407876757</v>
      </c>
      <c r="S38" s="1">
        <f t="shared" si="0"/>
        <v>-17.874644307905953</v>
      </c>
      <c r="T38" s="1">
        <f t="shared" si="1"/>
        <v>881.18823506619583</v>
      </c>
    </row>
    <row r="39" spans="1:20">
      <c r="A39" s="4" t="s">
        <v>34</v>
      </c>
      <c r="B39" s="4">
        <v>14</v>
      </c>
      <c r="E39" s="1">
        <v>1620</v>
      </c>
      <c r="F39" s="6">
        <v>8.9</v>
      </c>
      <c r="G39" s="1">
        <f t="shared" si="2"/>
        <v>1600.7541347480678</v>
      </c>
      <c r="I39" s="1">
        <v>860</v>
      </c>
      <c r="J39" s="1">
        <v>16.600000000000001</v>
      </c>
      <c r="K39" s="1">
        <f t="shared" si="3"/>
        <v>863.07638079457433</v>
      </c>
      <c r="S39" s="1">
        <f t="shared" si="0"/>
        <v>-19.388216207795381</v>
      </c>
      <c r="T39" s="1">
        <f t="shared" si="1"/>
        <v>846.52173913043475</v>
      </c>
    </row>
    <row r="40" spans="1:20">
      <c r="A40" s="4" t="s">
        <v>33</v>
      </c>
      <c r="B40" s="4">
        <v>11.8</v>
      </c>
      <c r="E40" s="1">
        <v>1634</v>
      </c>
      <c r="F40" s="1">
        <v>8.9</v>
      </c>
      <c r="G40" s="1">
        <f t="shared" si="2"/>
        <v>1614.5878124557673</v>
      </c>
      <c r="I40" s="1">
        <v>715</v>
      </c>
      <c r="J40" s="1">
        <v>8.5</v>
      </c>
      <c r="K40" s="1">
        <f t="shared" si="3"/>
        <v>724.38189375987486</v>
      </c>
      <c r="S40" s="1">
        <f t="shared" si="0"/>
        <v>-17.874644307905953</v>
      </c>
      <c r="T40" s="1">
        <f t="shared" si="1"/>
        <v>811.85524319467402</v>
      </c>
    </row>
    <row r="41" spans="1:20">
      <c r="A41" s="4" t="s">
        <v>29</v>
      </c>
      <c r="B41" s="4">
        <v>0.15</v>
      </c>
      <c r="E41" s="1">
        <v>1598</v>
      </c>
      <c r="F41" s="1">
        <v>11.2</v>
      </c>
      <c r="G41" s="1">
        <f t="shared" si="2"/>
        <v>1585.7469790031553</v>
      </c>
      <c r="I41" s="1">
        <v>880</v>
      </c>
      <c r="J41" s="1">
        <v>10</v>
      </c>
      <c r="K41" s="1">
        <f t="shared" si="3"/>
        <v>888.46388700458874</v>
      </c>
      <c r="S41" s="1">
        <f t="shared" si="0"/>
        <v>-13.34544780431554</v>
      </c>
      <c r="T41" s="1">
        <f t="shared" si="1"/>
        <v>777.45258022518669</v>
      </c>
    </row>
    <row r="42" spans="1:20">
      <c r="A42" s="4" t="s">
        <v>30</v>
      </c>
      <c r="B42" s="4">
        <v>7.1</v>
      </c>
      <c r="E42" s="1">
        <v>1616</v>
      </c>
      <c r="F42" s="1">
        <v>9</v>
      </c>
      <c r="G42" s="1">
        <f t="shared" si="2"/>
        <v>1597.2015828845813</v>
      </c>
      <c r="I42" s="1">
        <v>1740</v>
      </c>
      <c r="J42" s="1">
        <v>8.1</v>
      </c>
      <c r="K42" s="1">
        <f t="shared" si="3"/>
        <v>1765.0119079187446</v>
      </c>
      <c r="S42" s="1">
        <f t="shared" si="0"/>
        <v>-5.8350966172201879</v>
      </c>
      <c r="T42" s="1">
        <f t="shared" si="1"/>
        <v>743.57557526006701</v>
      </c>
    </row>
    <row r="43" spans="1:20">
      <c r="A43" s="4" t="s">
        <v>31</v>
      </c>
      <c r="B43" s="4">
        <v>1615</v>
      </c>
      <c r="E43" s="1">
        <v>1614</v>
      </c>
      <c r="F43" s="1">
        <v>9.25</v>
      </c>
      <c r="G43" s="1">
        <f t="shared" si="2"/>
        <v>1596.1714560581399</v>
      </c>
      <c r="I43" s="1">
        <v>982</v>
      </c>
      <c r="J43" s="1">
        <v>5.6</v>
      </c>
      <c r="K43" s="1">
        <f t="shared" si="3"/>
        <v>1009.8385210671111</v>
      </c>
      <c r="S43" s="1">
        <f t="shared" si="0"/>
        <v>4.5992509459725284</v>
      </c>
      <c r="T43" s="1">
        <f t="shared" si="1"/>
        <v>710.48205276259387</v>
      </c>
    </row>
    <row r="44" spans="1:20">
      <c r="A44" s="4" t="s">
        <v>32</v>
      </c>
      <c r="B44" s="4">
        <v>9.5500000000000007</v>
      </c>
      <c r="E44" s="1">
        <v>727</v>
      </c>
      <c r="F44" s="1">
        <v>13.9</v>
      </c>
      <c r="G44" s="1">
        <f t="shared" si="2"/>
        <v>723.33189139670969</v>
      </c>
      <c r="I44" s="1">
        <v>778</v>
      </c>
      <c r="J44" s="1">
        <v>15.6</v>
      </c>
      <c r="K44" s="1">
        <f t="shared" si="3"/>
        <v>781.1453676825239</v>
      </c>
      <c r="S44" s="1">
        <f t="shared" si="0"/>
        <v>17.878183199875139</v>
      </c>
      <c r="T44" s="1">
        <f t="shared" si="1"/>
        <v>678.42387442138852</v>
      </c>
    </row>
    <row r="45" spans="1:20">
      <c r="I45" s="1">
        <v>1735</v>
      </c>
      <c r="J45" s="1">
        <v>19</v>
      </c>
      <c r="K45" s="1">
        <f t="shared" si="3"/>
        <v>1739.7535317024506</v>
      </c>
      <c r="S45" s="1">
        <f t="shared" si="0"/>
        <v>33.900639451997108</v>
      </c>
      <c r="T45" s="1">
        <f t="shared" si="1"/>
        <v>647.64502233088479</v>
      </c>
    </row>
    <row r="46" spans="1:20">
      <c r="I46" s="1">
        <v>2644</v>
      </c>
      <c r="J46" s="1">
        <v>3.3</v>
      </c>
      <c r="K46" s="1">
        <f t="shared" si="3"/>
        <v>2824.0546211535025</v>
      </c>
      <c r="S46" s="1">
        <f t="shared" si="0"/>
        <v>52.544679135635931</v>
      </c>
      <c r="T46" s="1">
        <f t="shared" si="1"/>
        <v>618.37974214027076</v>
      </c>
    </row>
    <row r="47" spans="1:20">
      <c r="I47" s="1">
        <v>1581</v>
      </c>
      <c r="J47" s="1">
        <v>2.5</v>
      </c>
      <c r="K47" s="1">
        <f t="shared" si="3"/>
        <v>1739.9870271543989</v>
      </c>
      <c r="S47" s="1">
        <f t="shared" si="0"/>
        <v>73.668409851220588</v>
      </c>
      <c r="T47" s="1">
        <f t="shared" si="1"/>
        <v>590.85076030265577</v>
      </c>
    </row>
    <row r="48" spans="1:20">
      <c r="I48" s="1">
        <v>777</v>
      </c>
      <c r="J48" s="1">
        <v>9.5</v>
      </c>
      <c r="K48" s="1">
        <f t="shared" si="3"/>
        <v>785.24681831687246</v>
      </c>
      <c r="S48" s="1">
        <f t="shared" si="0"/>
        <v>97.111067253147723</v>
      </c>
      <c r="T48" s="1">
        <f t="shared" si="1"/>
        <v>565.26758899227821</v>
      </c>
    </row>
    <row r="49" spans="5:20">
      <c r="I49" s="1">
        <v>710</v>
      </c>
      <c r="J49" s="1">
        <v>10</v>
      </c>
      <c r="K49" s="1">
        <f t="shared" si="3"/>
        <v>716.82881792415674</v>
      </c>
      <c r="S49" s="1">
        <f t="shared" si="0"/>
        <v>122.69423856352532</v>
      </c>
      <c r="T49" s="1">
        <f t="shared" si="1"/>
        <v>541.82493159035107</v>
      </c>
    </row>
    <row r="50" spans="5:20">
      <c r="I50" s="1">
        <v>730</v>
      </c>
      <c r="J50" s="1">
        <v>8</v>
      </c>
      <c r="K50" s="1">
        <f t="shared" si="3"/>
        <v>740.74227012646406</v>
      </c>
      <c r="S50" s="1">
        <f t="shared" si="0"/>
        <v>150.22322040114017</v>
      </c>
      <c r="T50" s="1">
        <f t="shared" si="1"/>
        <v>520.70120087476653</v>
      </c>
    </row>
    <row r="51" spans="5:20">
      <c r="E51" s="6"/>
      <c r="I51" s="1">
        <v>746</v>
      </c>
      <c r="J51" s="1">
        <v>17.3</v>
      </c>
      <c r="K51" s="1">
        <f t="shared" si="3"/>
        <v>748.45977227089656</v>
      </c>
      <c r="S51" s="1">
        <f t="shared" si="0"/>
        <v>179.4885005917543</v>
      </c>
      <c r="T51" s="1">
        <f t="shared" si="1"/>
        <v>502.05716119112765</v>
      </c>
    </row>
    <row r="52" spans="5:20">
      <c r="S52" s="1">
        <f t="shared" si="0"/>
        <v>210.26735268225789</v>
      </c>
      <c r="T52" s="1">
        <f t="shared" si="1"/>
        <v>486.03470493900568</v>
      </c>
    </row>
    <row r="53" spans="5:20">
      <c r="S53" s="1">
        <f t="shared" si="0"/>
        <v>242.32553102346313</v>
      </c>
      <c r="T53" s="1">
        <f t="shared" si="1"/>
        <v>472.75577268510301</v>
      </c>
    </row>
    <row r="54" spans="5:20">
      <c r="S54" s="1">
        <f t="shared" si="0"/>
        <v>275.41905352093647</v>
      </c>
      <c r="T54" s="1">
        <f t="shared" si="1"/>
        <v>462.32142512191029</v>
      </c>
    </row>
    <row r="55" spans="5:20">
      <c r="S55" s="1">
        <f t="shared" si="0"/>
        <v>309.29605848605627</v>
      </c>
      <c r="T55" s="1">
        <f t="shared" si="1"/>
        <v>454.81107393481489</v>
      </c>
    </row>
    <row r="56" spans="5:20">
      <c r="S56" s="1">
        <f t="shared" si="0"/>
        <v>343.69872145554342</v>
      </c>
      <c r="T56" s="1">
        <f t="shared" si="1"/>
        <v>450.28187743122447</v>
      </c>
    </row>
    <row r="57" spans="5:20">
      <c r="S57" s="1">
        <f t="shared" si="0"/>
        <v>378.36521739130427</v>
      </c>
      <c r="T57" s="1">
        <f t="shared" si="1"/>
        <v>448.76830553133505</v>
      </c>
    </row>
    <row r="58" spans="5:20">
      <c r="S58" s="1">
        <f t="shared" si="0"/>
        <v>413.03171332706506</v>
      </c>
      <c r="T58" s="1">
        <f t="shared" si="1"/>
        <v>450.28187743122447</v>
      </c>
    </row>
    <row r="59" spans="5:20">
      <c r="S59" s="1">
        <f t="shared" si="0"/>
        <v>447.43437629655222</v>
      </c>
      <c r="T59" s="1">
        <f t="shared" si="1"/>
        <v>454.81107393481483</v>
      </c>
    </row>
    <row r="60" spans="5:20">
      <c r="S60" s="1">
        <f t="shared" si="0"/>
        <v>481.31138126167235</v>
      </c>
      <c r="T60" s="1">
        <f t="shared" si="1"/>
        <v>462.32142512191035</v>
      </c>
    </row>
    <row r="61" spans="5:20">
      <c r="E61" s="6"/>
      <c r="S61" s="1">
        <f t="shared" si="0"/>
        <v>514.4049037591451</v>
      </c>
      <c r="T61" s="1">
        <f t="shared" si="1"/>
        <v>472.7557726851029</v>
      </c>
    </row>
    <row r="62" spans="5:20">
      <c r="S62" s="1">
        <f t="shared" si="0"/>
        <v>546.46308210035068</v>
      </c>
      <c r="T62" s="1">
        <f t="shared" si="1"/>
        <v>486.03470493900562</v>
      </c>
    </row>
    <row r="63" spans="5:20">
      <c r="S63" s="1">
        <f t="shared" si="0"/>
        <v>577.24193419085418</v>
      </c>
      <c r="T63" s="1">
        <f t="shared" si="1"/>
        <v>502.05716119112753</v>
      </c>
    </row>
    <row r="64" spans="5:20">
      <c r="S64" s="1">
        <f t="shared" si="0"/>
        <v>606.50721438146843</v>
      </c>
      <c r="T64" s="1">
        <f t="shared" si="1"/>
        <v>520.70120087476653</v>
      </c>
    </row>
    <row r="65" spans="19:20">
      <c r="S65" s="1">
        <f t="shared" si="0"/>
        <v>634.03619621908319</v>
      </c>
      <c r="T65" s="1">
        <f t="shared" si="1"/>
        <v>541.82493159035096</v>
      </c>
    </row>
    <row r="66" spans="19:20">
      <c r="S66" s="1">
        <f t="shared" si="0"/>
        <v>659.61936752946076</v>
      </c>
      <c r="T66" s="1">
        <f t="shared" si="1"/>
        <v>565.26758899227821</v>
      </c>
    </row>
    <row r="67" spans="19:20">
      <c r="S67" s="1">
        <f t="shared" ref="S67:S75" si="4">$M$4+COS((ROW()-3)*5*PI()/180)*$B$15</f>
        <v>683.0620249313879</v>
      </c>
      <c r="T67" s="1">
        <f t="shared" ref="T67:T75" si="5">$N$4+SIN((ROW()-3)*5*PI()/180)*$B$15</f>
        <v>590.85076030265577</v>
      </c>
    </row>
    <row r="68" spans="19:20">
      <c r="S68" s="1">
        <f t="shared" si="4"/>
        <v>704.18575564697244</v>
      </c>
      <c r="T68" s="1">
        <f t="shared" si="5"/>
        <v>618.37974214027054</v>
      </c>
    </row>
    <row r="69" spans="19:20">
      <c r="S69" s="1">
        <f t="shared" si="4"/>
        <v>722.82979533061143</v>
      </c>
      <c r="T69" s="1">
        <f t="shared" si="5"/>
        <v>647.64502233088479</v>
      </c>
    </row>
    <row r="70" spans="19:20">
      <c r="S70" s="1">
        <f t="shared" si="4"/>
        <v>738.8522515827334</v>
      </c>
      <c r="T70" s="1">
        <f t="shared" si="5"/>
        <v>678.42387442138829</v>
      </c>
    </row>
    <row r="71" spans="19:20">
      <c r="S71" s="1">
        <f t="shared" si="4"/>
        <v>752.13118383663618</v>
      </c>
      <c r="T71" s="1">
        <f t="shared" si="5"/>
        <v>710.48205276259387</v>
      </c>
    </row>
    <row r="72" spans="19:20">
      <c r="S72" s="1">
        <f t="shared" si="4"/>
        <v>762.56553139982884</v>
      </c>
      <c r="T72" s="1">
        <f t="shared" si="5"/>
        <v>743.5755752600669</v>
      </c>
    </row>
    <row r="73" spans="19:20">
      <c r="S73" s="1">
        <f t="shared" si="4"/>
        <v>770.07588258692408</v>
      </c>
      <c r="T73" s="1">
        <f t="shared" si="5"/>
        <v>777.45258022518635</v>
      </c>
    </row>
    <row r="74" spans="19:20">
      <c r="S74" s="1">
        <f t="shared" si="4"/>
        <v>774.60507909051466</v>
      </c>
      <c r="T74" s="1">
        <f t="shared" si="5"/>
        <v>811.85524319467379</v>
      </c>
    </row>
    <row r="75" spans="19:20">
      <c r="S75" s="1">
        <f t="shared" si="4"/>
        <v>776.11865099040403</v>
      </c>
      <c r="T75" s="1">
        <f t="shared" si="5"/>
        <v>846.52173913043464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Sn +O2 O2 loss </vt:lpstr>
      <vt:lpstr>C2Cl Hloss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ZhaoLong</dc:creator>
  <cp:lastModifiedBy>Медведков Яков</cp:lastModifiedBy>
  <cp:lastPrinted>2022-12-08T00:04:05Z</cp:lastPrinted>
  <dcterms:created xsi:type="dcterms:W3CDTF">2016-10-19T20:03:07Z</dcterms:created>
  <dcterms:modified xsi:type="dcterms:W3CDTF">2024-04-12T20:01:50Z</dcterms:modified>
</cp:coreProperties>
</file>