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C3H3 + C4H8\C3H3 + Methylpropene\"/>
    </mc:Choice>
  </mc:AlternateContent>
  <bookViews>
    <workbookView xWindow="0" yWindow="0" windowWidth="28800" windowHeight="12030"/>
  </bookViews>
  <sheets>
    <sheet name="MethylPropane H or H2 loss" sheetId="8" r:id="rId1"/>
    <sheet name="C2Cl Hloss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8" l="1"/>
  <c r="B18" i="8"/>
  <c r="F25" i="8" l="1"/>
  <c r="E26" i="8"/>
  <c r="E25" i="8"/>
  <c r="B13" i="8"/>
  <c r="E34" i="8" l="1"/>
  <c r="F7" i="8" l="1"/>
  <c r="F6" i="8"/>
  <c r="G34" i="8" l="1"/>
  <c r="G33" i="8"/>
  <c r="F33" i="8"/>
  <c r="E33" i="8"/>
  <c r="G53" i="8"/>
  <c r="G52" i="8"/>
  <c r="G51" i="8"/>
  <c r="G50" i="8"/>
  <c r="G49" i="8"/>
  <c r="G48" i="8"/>
  <c r="G47" i="8"/>
  <c r="F34" i="8" l="1"/>
  <c r="G46" i="8"/>
  <c r="G45" i="8" l="1"/>
  <c r="K51" i="8" l="1"/>
  <c r="K50" i="8"/>
  <c r="K49" i="8"/>
  <c r="K48" i="8"/>
  <c r="K47" i="8"/>
  <c r="K46" i="8"/>
  <c r="K45" i="8"/>
  <c r="K44" i="8"/>
  <c r="G44" i="8"/>
  <c r="K43" i="8"/>
  <c r="G43" i="8"/>
  <c r="K42" i="8"/>
  <c r="G42" i="8"/>
  <c r="K41" i="8"/>
  <c r="G41" i="8"/>
  <c r="K40" i="8"/>
  <c r="G40" i="8"/>
  <c r="K39" i="8"/>
  <c r="G39" i="8"/>
  <c r="K38" i="8"/>
  <c r="G38" i="8"/>
  <c r="K37" i="8"/>
  <c r="G37" i="8"/>
  <c r="B36" i="8"/>
  <c r="D18" i="8"/>
  <c r="B16" i="8"/>
  <c r="B14" i="8"/>
  <c r="B15" i="8" s="1"/>
  <c r="K4" i="8"/>
  <c r="U4" i="8" s="1"/>
  <c r="J4" i="8"/>
  <c r="V3" i="8" s="1"/>
  <c r="K51" i="7"/>
  <c r="M4" i="8" l="1"/>
  <c r="S40" i="8" s="1"/>
  <c r="B20" i="8"/>
  <c r="B19" i="8"/>
  <c r="D20" i="8"/>
  <c r="Q4" i="8" s="1"/>
  <c r="R4" i="8" s="1"/>
  <c r="D19" i="8"/>
  <c r="O4" i="8" s="1"/>
  <c r="P4" i="8" s="1"/>
  <c r="E12" i="7"/>
  <c r="K50" i="7"/>
  <c r="K49" i="7"/>
  <c r="K48" i="7"/>
  <c r="K47" i="7"/>
  <c r="K46" i="7"/>
  <c r="K45" i="7"/>
  <c r="K44" i="7"/>
  <c r="G44" i="7"/>
  <c r="K43" i="7"/>
  <c r="G43" i="7"/>
  <c r="K42" i="7"/>
  <c r="G42" i="7"/>
  <c r="K41" i="7"/>
  <c r="G41" i="7"/>
  <c r="K40" i="7"/>
  <c r="G40" i="7"/>
  <c r="K39" i="7"/>
  <c r="G39" i="7"/>
  <c r="K38" i="7"/>
  <c r="G38" i="7"/>
  <c r="K37" i="7"/>
  <c r="G37" i="7"/>
  <c r="B36" i="7"/>
  <c r="G34" i="7"/>
  <c r="F34" i="7"/>
  <c r="E34" i="7"/>
  <c r="D18" i="7"/>
  <c r="B18" i="7"/>
  <c r="B16" i="7"/>
  <c r="B13" i="7"/>
  <c r="B14" i="7" s="1"/>
  <c r="B15" i="7" s="1"/>
  <c r="F7" i="7"/>
  <c r="F6" i="7"/>
  <c r="K4" i="7"/>
  <c r="U4" i="7" s="1"/>
  <c r="J4" i="7"/>
  <c r="V3" i="7" s="1"/>
  <c r="S37" i="8" l="1"/>
  <c r="S28" i="8"/>
  <c r="S19" i="8"/>
  <c r="S69" i="8"/>
  <c r="S38" i="8"/>
  <c r="S16" i="8"/>
  <c r="S48" i="8"/>
  <c r="S10" i="8"/>
  <c r="S52" i="8"/>
  <c r="S53" i="8"/>
  <c r="S62" i="8"/>
  <c r="S57" i="8"/>
  <c r="S7" i="8"/>
  <c r="N4" i="8"/>
  <c r="T75" i="8" s="1"/>
  <c r="S6" i="8"/>
  <c r="S67" i="8"/>
  <c r="S49" i="8"/>
  <c r="S46" i="8"/>
  <c r="S32" i="8"/>
  <c r="S30" i="8"/>
  <c r="S13" i="8"/>
  <c r="S59" i="8"/>
  <c r="S75" i="8"/>
  <c r="S11" i="8"/>
  <c r="S54" i="8"/>
  <c r="S70" i="8"/>
  <c r="S27" i="8"/>
  <c r="S26" i="8"/>
  <c r="S66" i="8"/>
  <c r="S25" i="8"/>
  <c r="S50" i="8"/>
  <c r="S24" i="8"/>
  <c r="S22" i="8"/>
  <c r="S47" i="8"/>
  <c r="S65" i="8"/>
  <c r="S4" i="8"/>
  <c r="S15" i="8"/>
  <c r="S60" i="8"/>
  <c r="S74" i="8"/>
  <c r="S29" i="8"/>
  <c r="S41" i="8"/>
  <c r="S43" i="8"/>
  <c r="S8" i="8"/>
  <c r="S51" i="8"/>
  <c r="S61" i="8"/>
  <c r="S73" i="8"/>
  <c r="S3" i="8"/>
  <c r="S34" i="8"/>
  <c r="S58" i="8"/>
  <c r="S68" i="8"/>
  <c r="S21" i="8"/>
  <c r="S33" i="8"/>
  <c r="S17" i="8"/>
  <c r="D20" i="7"/>
  <c r="Q4" i="7" s="1"/>
  <c r="R4" i="7" s="1"/>
  <c r="S36" i="8"/>
  <c r="S44" i="8"/>
  <c r="S42" i="8"/>
  <c r="S18" i="8"/>
  <c r="S39" i="8"/>
  <c r="S5" i="8"/>
  <c r="S35" i="8"/>
  <c r="S55" i="8"/>
  <c r="S63" i="8"/>
  <c r="S71" i="8"/>
  <c r="S12" i="8"/>
  <c r="S9" i="8"/>
  <c r="S45" i="8"/>
  <c r="S56" i="8"/>
  <c r="S64" i="8"/>
  <c r="S72" i="8"/>
  <c r="S23" i="8"/>
  <c r="S31" i="8"/>
  <c r="S20" i="8"/>
  <c r="S14" i="8"/>
  <c r="T19" i="8"/>
  <c r="B20" i="7"/>
  <c r="D19" i="7"/>
  <c r="O4" i="7" s="1"/>
  <c r="P4" i="7" s="1"/>
  <c r="M4" i="7"/>
  <c r="B19" i="7"/>
  <c r="T5" i="8" l="1"/>
  <c r="T31" i="8"/>
  <c r="T52" i="8"/>
  <c r="T24" i="8"/>
  <c r="T49" i="8"/>
  <c r="T38" i="8"/>
  <c r="T33" i="8"/>
  <c r="T68" i="8"/>
  <c r="T12" i="8"/>
  <c r="T54" i="8"/>
  <c r="T15" i="8"/>
  <c r="T17" i="8"/>
  <c r="T43" i="8"/>
  <c r="T23" i="8"/>
  <c r="T74" i="8"/>
  <c r="T69" i="8"/>
  <c r="T56" i="8"/>
  <c r="T4" i="8"/>
  <c r="T32" i="8"/>
  <c r="T7" i="8"/>
  <c r="T42" i="8"/>
  <c r="T61" i="8"/>
  <c r="T3" i="8"/>
  <c r="T72" i="8"/>
  <c r="T39" i="8"/>
  <c r="T8" i="8"/>
  <c r="T25" i="8"/>
  <c r="T58" i="8"/>
  <c r="T53" i="8"/>
  <c r="T9" i="8"/>
  <c r="T34" i="8"/>
  <c r="T60" i="8"/>
  <c r="T6" i="8"/>
  <c r="T36" i="8"/>
  <c r="T40" i="8"/>
  <c r="T44" i="8"/>
  <c r="T10" i="8"/>
  <c r="T16" i="8"/>
  <c r="T27" i="8"/>
  <c r="T46" i="8"/>
  <c r="T62" i="8"/>
  <c r="T18" i="8"/>
  <c r="T26" i="8"/>
  <c r="T35" i="8"/>
  <c r="T55" i="8"/>
  <c r="T63" i="8"/>
  <c r="T71" i="8"/>
  <c r="T11" i="8"/>
  <c r="T45" i="8"/>
  <c r="T64" i="8"/>
  <c r="T14" i="8"/>
  <c r="T37" i="8"/>
  <c r="T41" i="8"/>
  <c r="T48" i="8"/>
  <c r="T13" i="8"/>
  <c r="T21" i="8"/>
  <c r="T29" i="8"/>
  <c r="T50" i="8"/>
  <c r="T66" i="8"/>
  <c r="T20" i="8"/>
  <c r="T28" i="8"/>
  <c r="T47" i="8"/>
  <c r="T57" i="8"/>
  <c r="T65" i="8"/>
  <c r="T73" i="8"/>
  <c r="T70" i="8"/>
  <c r="T22" i="8"/>
  <c r="T30" i="8"/>
  <c r="T51" i="8"/>
  <c r="T59" i="8"/>
  <c r="T67" i="8"/>
  <c r="S47" i="7"/>
  <c r="S35" i="7"/>
  <c r="S13" i="7"/>
  <c r="S10" i="7"/>
  <c r="S8" i="7"/>
  <c r="S5" i="7"/>
  <c r="N4" i="7"/>
  <c r="S15" i="7"/>
  <c r="S70" i="7"/>
  <c r="S64" i="7"/>
  <c r="S58" i="7"/>
  <c r="S52" i="7"/>
  <c r="S29" i="7"/>
  <c r="S25" i="7"/>
  <c r="S21" i="7"/>
  <c r="S16" i="7"/>
  <c r="S12" i="7"/>
  <c r="S75" i="7"/>
  <c r="S73" i="7"/>
  <c r="S71" i="7"/>
  <c r="S69" i="7"/>
  <c r="S67" i="7"/>
  <c r="S65" i="7"/>
  <c r="S63" i="7"/>
  <c r="S61" i="7"/>
  <c r="S59" i="7"/>
  <c r="S57" i="7"/>
  <c r="S55" i="7"/>
  <c r="S53" i="7"/>
  <c r="S51" i="7"/>
  <c r="S48" i="7"/>
  <c r="S44" i="7"/>
  <c r="S43" i="7"/>
  <c r="S42" i="7"/>
  <c r="S41" i="7"/>
  <c r="S40" i="7"/>
  <c r="S39" i="7"/>
  <c r="S38" i="7"/>
  <c r="S37" i="7"/>
  <c r="S36" i="7"/>
  <c r="S32" i="7"/>
  <c r="S30" i="7"/>
  <c r="S28" i="7"/>
  <c r="S26" i="7"/>
  <c r="S24" i="7"/>
  <c r="S22" i="7"/>
  <c r="S20" i="7"/>
  <c r="S19" i="7"/>
  <c r="S18" i="7"/>
  <c r="S17" i="7"/>
  <c r="S14" i="7"/>
  <c r="S6" i="7"/>
  <c r="S34" i="7"/>
  <c r="S11" i="7"/>
  <c r="S7" i="7"/>
  <c r="S3" i="7"/>
  <c r="S74" i="7"/>
  <c r="S68" i="7"/>
  <c r="S66" i="7"/>
  <c r="S60" i="7"/>
  <c r="S56" i="7"/>
  <c r="S50" i="7"/>
  <c r="S46" i="7"/>
  <c r="S33" i="7"/>
  <c r="S31" i="7"/>
  <c r="S27" i="7"/>
  <c r="S23" i="7"/>
  <c r="S4" i="7"/>
  <c r="S49" i="7"/>
  <c r="S45" i="7"/>
  <c r="S9" i="7"/>
  <c r="S72" i="7"/>
  <c r="S62" i="7"/>
  <c r="S54" i="7"/>
  <c r="T75" i="7" l="1"/>
  <c r="T73" i="7"/>
  <c r="T71" i="7"/>
  <c r="T69" i="7"/>
  <c r="T67" i="7"/>
  <c r="T65" i="7"/>
  <c r="T63" i="7"/>
  <c r="T61" i="7"/>
  <c r="T59" i="7"/>
  <c r="T57" i="7"/>
  <c r="T55" i="7"/>
  <c r="T53" i="7"/>
  <c r="T51" i="7"/>
  <c r="T48" i="7"/>
  <c r="T44" i="7"/>
  <c r="T43" i="7"/>
  <c r="T42" i="7"/>
  <c r="T41" i="7"/>
  <c r="T40" i="7"/>
  <c r="T39" i="7"/>
  <c r="T38" i="7"/>
  <c r="T37" i="7"/>
  <c r="T36" i="7"/>
  <c r="T32" i="7"/>
  <c r="T30" i="7"/>
  <c r="T28" i="7"/>
  <c r="T26" i="7"/>
  <c r="T24" i="7"/>
  <c r="T22" i="7"/>
  <c r="T20" i="7"/>
  <c r="T19" i="7"/>
  <c r="T18" i="7"/>
  <c r="T17" i="7"/>
  <c r="T14" i="7"/>
  <c r="T6" i="7"/>
  <c r="T29" i="7"/>
  <c r="T23" i="7"/>
  <c r="T16" i="7"/>
  <c r="T13" i="7"/>
  <c r="T10" i="7"/>
  <c r="T8" i="7"/>
  <c r="T49" i="7"/>
  <c r="T45" i="7"/>
  <c r="T34" i="7"/>
  <c r="T15" i="7"/>
  <c r="T11" i="7"/>
  <c r="T9" i="7"/>
  <c r="T7" i="7"/>
  <c r="T3" i="7"/>
  <c r="T33" i="7"/>
  <c r="T31" i="7"/>
  <c r="T27" i="7"/>
  <c r="T25" i="7"/>
  <c r="T21" i="7"/>
  <c r="T4" i="7"/>
  <c r="T5" i="7"/>
  <c r="T74" i="7"/>
  <c r="T72" i="7"/>
  <c r="T70" i="7"/>
  <c r="T68" i="7"/>
  <c r="T66" i="7"/>
  <c r="T64" i="7"/>
  <c r="T62" i="7"/>
  <c r="T60" i="7"/>
  <c r="T58" i="7"/>
  <c r="T56" i="7"/>
  <c r="T54" i="7"/>
  <c r="T52" i="7"/>
  <c r="T50" i="7"/>
  <c r="T46" i="7"/>
  <c r="T12" i="7"/>
  <c r="T47" i="7"/>
  <c r="T35" i="7"/>
</calcChain>
</file>

<file path=xl/sharedStrings.xml><?xml version="1.0" encoding="utf-8"?>
<sst xmlns="http://schemas.openxmlformats.org/spreadsheetml/2006/main" count="111" uniqueCount="50">
  <si>
    <t>Reaction:</t>
  </si>
  <si>
    <t>1 + 2 -&gt; 3 + 4</t>
  </si>
  <si>
    <t>Species</t>
  </si>
  <si>
    <t>Formula</t>
  </si>
  <si>
    <t>CM</t>
  </si>
  <si>
    <t>X</t>
  </si>
  <si>
    <t>Ec</t>
  </si>
  <si>
    <t>Circle Radius</t>
  </si>
  <si>
    <t>Er</t>
  </si>
  <si>
    <t>m/s</t>
  </si>
  <si>
    <t>Mass(g/mol)</t>
  </si>
  <si>
    <t>CM speed</t>
  </si>
  <si>
    <t>S</t>
  </si>
  <si>
    <t>Vp</t>
  </si>
  <si>
    <t>Limit+</t>
  </si>
  <si>
    <t>Limit-</t>
  </si>
  <si>
    <t>Source 1</t>
  </si>
  <si>
    <t>Source 2</t>
  </si>
  <si>
    <t>Circle</t>
  </si>
  <si>
    <t>=</t>
  </si>
  <si>
    <t>Edge</t>
  </si>
  <si>
    <t>J</t>
  </si>
  <si>
    <t>Velocity(Vt, m/s)</t>
  </si>
  <si>
    <t>CM offset</t>
  </si>
  <si>
    <t>J/mol</t>
  </si>
  <si>
    <t>Hf(J/mol)</t>
  </si>
  <si>
    <t>offset</t>
  </si>
  <si>
    <t>PVI delay</t>
  </si>
  <si>
    <t>chopper wheel</t>
  </si>
  <si>
    <t>mcs dead</t>
  </si>
  <si>
    <t>photodiode delay</t>
  </si>
  <si>
    <t xml:space="preserve"> Vt1</t>
  </si>
  <si>
    <t>s</t>
  </si>
  <si>
    <t xml:space="preserve">slit width </t>
  </si>
  <si>
    <t xml:space="preserve">CW offset </t>
  </si>
  <si>
    <t>Vt</t>
  </si>
  <si>
    <t>H</t>
  </si>
  <si>
    <t>c4H8</t>
  </si>
  <si>
    <t>Methylpropane</t>
  </si>
  <si>
    <t>C6H7</t>
  </si>
  <si>
    <t>C2Cl</t>
  </si>
  <si>
    <t>Dicarbon Chloro</t>
  </si>
  <si>
    <t>HCl</t>
  </si>
  <si>
    <t>C3H3</t>
  </si>
  <si>
    <t>C7H10</t>
  </si>
  <si>
    <t>1-PROPYNYL</t>
  </si>
  <si>
    <t>Methylpropene</t>
  </si>
  <si>
    <t>sd</t>
  </si>
  <si>
    <t>mean</t>
  </si>
  <si>
    <t>24+3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</si>
</sst>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00"/>
  </numFmts>
  <fonts count="4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D389C8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2" fontId="2" fillId="0" borderId="0" xfId="0" applyNumberFormat="1" applyFont="1"/>
    <xf numFmtId="0" fontId="3" fillId="2" borderId="0" xfId="0" applyFont="1" applyFill="1"/>
    <xf numFmtId="0" fontId="2" fillId="3" borderId="0" xfId="0" applyFont="1" applyFill="1"/>
    <xf numFmtId="0" fontId="1" fillId="0" borderId="0" xfId="0" applyFo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3" borderId="6" xfId="0" applyFont="1" applyFill="1" applyBorder="1"/>
    <xf numFmtId="0" fontId="2" fillId="3" borderId="7" xfId="0" applyFont="1" applyFill="1" applyBorder="1"/>
    <xf numFmtId="0" fontId="2" fillId="3" borderId="8" xfId="0" applyFont="1" applyFill="1" applyBorder="1"/>
    <xf numFmtId="0" fontId="2" fillId="3" borderId="9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0" fontId="2" fillId="0" borderId="11" xfId="0" applyFont="1" applyFill="1" applyBorder="1"/>
    <xf numFmtId="0" fontId="2" fillId="3" borderId="12" xfId="0" applyFont="1" applyFill="1" applyBorder="1"/>
    <xf numFmtId="2" fontId="2" fillId="3" borderId="13" xfId="0" applyNumberFormat="1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3" fillId="0" borderId="0" xfId="0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4" borderId="0" xfId="0" applyFont="1" applyFill="1"/>
    <xf numFmtId="0" fontId="2" fillId="4" borderId="6" xfId="0" applyFont="1" applyFill="1" applyBorder="1"/>
    <xf numFmtId="0" fontId="2" fillId="0" borderId="0" xfId="0" applyFont="1" applyAlignment="1">
      <alignment horizontal="center"/>
    </xf>
    <xf numFmtId="169" fontId="2" fillId="0" borderId="0" xfId="0" applyNumberFormat="1" applyFont="1"/>
  </cellXfs>
  <cellStyles count="1">
    <cellStyle name="Normal" xfId="0" builtinId="0"/>
  </cellStyles>
  <dxfs count="0"/>
  <tableStyles count="0" defaultTableStyle="TableStyleMedium2"/>
  <colors>
    <mruColors>
      <color rgb="FFD389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7777361718747"/>
          <c:y val="5.4157240748163554E-2"/>
          <c:w val="0.563996576728508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'MethylPropane H or H2 loss'!$S$2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loss'!$S$3:$S$75</c:f>
              <c:numCache>
                <c:formatCode>General</c:formatCode>
                <c:ptCount val="73"/>
                <c:pt idx="0">
                  <c:v>666.72796909053818</c:v>
                </c:pt>
                <c:pt idx="1">
                  <c:v>665.88667063102776</c:v>
                </c:pt>
                <c:pt idx="2">
                  <c:v>663.36917804176323</c:v>
                </c:pt>
                <c:pt idx="3">
                  <c:v>659.19465096145257</c:v>
                </c:pt>
                <c:pt idx="4">
                  <c:v>653.39486006182528</c:v>
                </c:pt>
                <c:pt idx="5">
                  <c:v>646.01394525363696</c:v>
                </c:pt>
                <c:pt idx="6">
                  <c:v>637.10807975529633</c:v>
                </c:pt>
                <c:pt idx="7">
                  <c:v>626.7450425807541</c:v>
                </c:pt>
                <c:pt idx="8">
                  <c:v>615.00370270028156</c:v>
                </c:pt>
                <c:pt idx="9">
                  <c:v>601.97341879998407</c:v>
                </c:pt>
                <c:pt idx="10">
                  <c:v>587.75335920824341</c:v>
                </c:pt>
                <c:pt idx="11">
                  <c:v>572.45174716485928</c:v>
                </c:pt>
                <c:pt idx="12">
                  <c:v>556.18503717684803</c:v>
                </c:pt>
                <c:pt idx="13">
                  <c:v>539.07702872932634</c:v>
                </c:pt>
                <c:pt idx="14">
                  <c:v>521.25792409667781</c:v>
                </c:pt>
                <c:pt idx="15">
                  <c:v>502.86333742462637</c:v>
                </c:pt>
                <c:pt idx="16">
                  <c:v>484.03326262470159</c:v>
                </c:pt>
                <c:pt idx="17">
                  <c:v>464.91100793604079</c:v>
                </c:pt>
                <c:pt idx="18">
                  <c:v>445.64210526315787</c:v>
                </c:pt>
                <c:pt idx="19">
                  <c:v>426.3732025902749</c:v>
                </c:pt>
                <c:pt idx="20">
                  <c:v>407.25094790161421</c:v>
                </c:pt>
                <c:pt idx="21">
                  <c:v>388.42087310168938</c:v>
                </c:pt>
                <c:pt idx="22">
                  <c:v>370.02628642963799</c:v>
                </c:pt>
                <c:pt idx="23">
                  <c:v>352.20718179698946</c:v>
                </c:pt>
                <c:pt idx="24">
                  <c:v>335.09917334946778</c:v>
                </c:pt>
                <c:pt idx="25">
                  <c:v>318.83246336145652</c:v>
                </c:pt>
                <c:pt idx="26">
                  <c:v>303.53085131807239</c:v>
                </c:pt>
                <c:pt idx="27">
                  <c:v>289.31079172633167</c:v>
                </c:pt>
                <c:pt idx="28">
                  <c:v>276.28050782603418</c:v>
                </c:pt>
                <c:pt idx="29">
                  <c:v>264.53916794556176</c:v>
                </c:pt>
                <c:pt idx="30">
                  <c:v>254.17613077101947</c:v>
                </c:pt>
                <c:pt idx="31">
                  <c:v>245.27026527267876</c:v>
                </c:pt>
                <c:pt idx="32">
                  <c:v>237.88935046449049</c:v>
                </c:pt>
                <c:pt idx="33">
                  <c:v>232.08955956486318</c:v>
                </c:pt>
                <c:pt idx="34">
                  <c:v>227.91503248455254</c:v>
                </c:pt>
                <c:pt idx="35">
                  <c:v>225.39753989528805</c:v>
                </c:pt>
                <c:pt idx="36">
                  <c:v>224.55624143577762</c:v>
                </c:pt>
                <c:pt idx="37">
                  <c:v>225.39753989528805</c:v>
                </c:pt>
                <c:pt idx="38">
                  <c:v>227.91503248455254</c:v>
                </c:pt>
                <c:pt idx="39">
                  <c:v>232.08955956486315</c:v>
                </c:pt>
                <c:pt idx="40">
                  <c:v>237.88935046449046</c:v>
                </c:pt>
                <c:pt idx="41">
                  <c:v>245.27026527267873</c:v>
                </c:pt>
                <c:pt idx="42">
                  <c:v>254.17613077101947</c:v>
                </c:pt>
                <c:pt idx="43">
                  <c:v>264.53916794556164</c:v>
                </c:pt>
                <c:pt idx="44">
                  <c:v>276.28050782603418</c:v>
                </c:pt>
                <c:pt idx="45">
                  <c:v>289.31079172633162</c:v>
                </c:pt>
                <c:pt idx="46">
                  <c:v>303.53085131807234</c:v>
                </c:pt>
                <c:pt idx="47">
                  <c:v>318.8324633614564</c:v>
                </c:pt>
                <c:pt idx="48">
                  <c:v>335.09917334946766</c:v>
                </c:pt>
                <c:pt idx="49">
                  <c:v>352.20718179698935</c:v>
                </c:pt>
                <c:pt idx="50">
                  <c:v>370.02628642963782</c:v>
                </c:pt>
                <c:pt idx="51">
                  <c:v>388.42087310168938</c:v>
                </c:pt>
                <c:pt idx="52">
                  <c:v>407.25094790161415</c:v>
                </c:pt>
                <c:pt idx="53">
                  <c:v>426.3732025902749</c:v>
                </c:pt>
                <c:pt idx="54">
                  <c:v>445.64210526315782</c:v>
                </c:pt>
                <c:pt idx="55">
                  <c:v>464.91100793604073</c:v>
                </c:pt>
                <c:pt idx="56">
                  <c:v>484.03326262470148</c:v>
                </c:pt>
                <c:pt idx="57">
                  <c:v>502.86333742462642</c:v>
                </c:pt>
                <c:pt idx="58">
                  <c:v>521.25792409667758</c:v>
                </c:pt>
                <c:pt idx="59">
                  <c:v>539.07702872932634</c:v>
                </c:pt>
                <c:pt idx="60">
                  <c:v>556.18503717684803</c:v>
                </c:pt>
                <c:pt idx="61">
                  <c:v>572.45174716485928</c:v>
                </c:pt>
                <c:pt idx="62">
                  <c:v>587.7533592082433</c:v>
                </c:pt>
                <c:pt idx="63">
                  <c:v>601.97341879998407</c:v>
                </c:pt>
                <c:pt idx="64">
                  <c:v>615.00370270028156</c:v>
                </c:pt>
                <c:pt idx="65">
                  <c:v>626.74504258075399</c:v>
                </c:pt>
                <c:pt idx="66">
                  <c:v>637.10807975529622</c:v>
                </c:pt>
                <c:pt idx="67">
                  <c:v>646.01394525363696</c:v>
                </c:pt>
                <c:pt idx="68">
                  <c:v>653.39486006182528</c:v>
                </c:pt>
                <c:pt idx="69">
                  <c:v>659.19465096145257</c:v>
                </c:pt>
                <c:pt idx="70">
                  <c:v>663.36917804176323</c:v>
                </c:pt>
                <c:pt idx="71">
                  <c:v>665.88667063102776</c:v>
                </c:pt>
                <c:pt idx="72">
                  <c:v>666.72796909053818</c:v>
                </c:pt>
              </c:numCache>
            </c:numRef>
          </c:xVal>
          <c:yVal>
            <c:numRef>
              <c:f>'MethylPropane H or H2 loss'!$T$3:$T$75</c:f>
              <c:numCache>
                <c:formatCode>General</c:formatCode>
                <c:ptCount val="73"/>
                <c:pt idx="0">
                  <c:v>681.47368421052624</c:v>
                </c:pt>
                <c:pt idx="1">
                  <c:v>700.74258688340922</c:v>
                </c:pt>
                <c:pt idx="2">
                  <c:v>719.86484157206996</c:v>
                </c:pt>
                <c:pt idx="3">
                  <c:v>738.69491637199474</c:v>
                </c:pt>
                <c:pt idx="4">
                  <c:v>757.08950304404607</c:v>
                </c:pt>
                <c:pt idx="5">
                  <c:v>774.90860767669471</c:v>
                </c:pt>
                <c:pt idx="6">
                  <c:v>792.0166161242164</c:v>
                </c:pt>
                <c:pt idx="7">
                  <c:v>808.28332611222766</c:v>
                </c:pt>
                <c:pt idx="8">
                  <c:v>823.58493815561167</c:v>
                </c:pt>
                <c:pt idx="9">
                  <c:v>837.80499774735245</c:v>
                </c:pt>
                <c:pt idx="10">
                  <c:v>850.83528164764994</c:v>
                </c:pt>
                <c:pt idx="11">
                  <c:v>862.57662152812247</c:v>
                </c:pt>
                <c:pt idx="12">
                  <c:v>872.9396587026647</c:v>
                </c:pt>
                <c:pt idx="13">
                  <c:v>881.84552420100533</c:v>
                </c:pt>
                <c:pt idx="14">
                  <c:v>889.22643900919365</c:v>
                </c:pt>
                <c:pt idx="15">
                  <c:v>895.02622990882094</c:v>
                </c:pt>
                <c:pt idx="16">
                  <c:v>899.20075698913161</c:v>
                </c:pt>
                <c:pt idx="17">
                  <c:v>901.71824957839613</c:v>
                </c:pt>
                <c:pt idx="18">
                  <c:v>902.55954803790655</c:v>
                </c:pt>
                <c:pt idx="19">
                  <c:v>901.71824957839613</c:v>
                </c:pt>
                <c:pt idx="20">
                  <c:v>899.20075698913161</c:v>
                </c:pt>
                <c:pt idx="21">
                  <c:v>895.02622990882094</c:v>
                </c:pt>
                <c:pt idx="22">
                  <c:v>889.22643900919365</c:v>
                </c:pt>
                <c:pt idx="23">
                  <c:v>881.84552420100545</c:v>
                </c:pt>
                <c:pt idx="24">
                  <c:v>872.9396587026647</c:v>
                </c:pt>
                <c:pt idx="25">
                  <c:v>862.57662152812247</c:v>
                </c:pt>
                <c:pt idx="26">
                  <c:v>850.83528164764994</c:v>
                </c:pt>
                <c:pt idx="27">
                  <c:v>837.80499774735245</c:v>
                </c:pt>
                <c:pt idx="28">
                  <c:v>823.58493815561178</c:v>
                </c:pt>
                <c:pt idx="29">
                  <c:v>808.28332611222777</c:v>
                </c:pt>
                <c:pt idx="30">
                  <c:v>792.0166161242164</c:v>
                </c:pt>
                <c:pt idx="31">
                  <c:v>774.90860767669471</c:v>
                </c:pt>
                <c:pt idx="32">
                  <c:v>757.08950304404618</c:v>
                </c:pt>
                <c:pt idx="33">
                  <c:v>738.69491637199485</c:v>
                </c:pt>
                <c:pt idx="34">
                  <c:v>719.86484157206996</c:v>
                </c:pt>
                <c:pt idx="35">
                  <c:v>700.74258688340933</c:v>
                </c:pt>
                <c:pt idx="36">
                  <c:v>681.47368421052624</c:v>
                </c:pt>
                <c:pt idx="37">
                  <c:v>662.20478153764338</c:v>
                </c:pt>
                <c:pt idx="38">
                  <c:v>643.08252684898252</c:v>
                </c:pt>
                <c:pt idx="39">
                  <c:v>624.25245204905787</c:v>
                </c:pt>
                <c:pt idx="40">
                  <c:v>605.85786537700642</c:v>
                </c:pt>
                <c:pt idx="41">
                  <c:v>588.03876074435789</c:v>
                </c:pt>
                <c:pt idx="42">
                  <c:v>570.93075229683609</c:v>
                </c:pt>
                <c:pt idx="43">
                  <c:v>554.66404230882495</c:v>
                </c:pt>
                <c:pt idx="44">
                  <c:v>539.36243026544082</c:v>
                </c:pt>
                <c:pt idx="45">
                  <c:v>525.14237067370004</c:v>
                </c:pt>
                <c:pt idx="46">
                  <c:v>512.11208677340255</c:v>
                </c:pt>
                <c:pt idx="47">
                  <c:v>500.37074689293013</c:v>
                </c:pt>
                <c:pt idx="48">
                  <c:v>490.0077097183879</c:v>
                </c:pt>
                <c:pt idx="49">
                  <c:v>481.10184422004716</c:v>
                </c:pt>
                <c:pt idx="50">
                  <c:v>473.72092941185883</c:v>
                </c:pt>
                <c:pt idx="51">
                  <c:v>467.92113851223155</c:v>
                </c:pt>
                <c:pt idx="52">
                  <c:v>463.74661143192088</c:v>
                </c:pt>
                <c:pt idx="53">
                  <c:v>461.22911884265642</c:v>
                </c:pt>
                <c:pt idx="54">
                  <c:v>460.38782038314599</c:v>
                </c:pt>
                <c:pt idx="55">
                  <c:v>461.22911884265642</c:v>
                </c:pt>
                <c:pt idx="56">
                  <c:v>463.74661143192088</c:v>
                </c:pt>
                <c:pt idx="57">
                  <c:v>467.92113851223155</c:v>
                </c:pt>
                <c:pt idx="58">
                  <c:v>473.72092941185883</c:v>
                </c:pt>
                <c:pt idx="59">
                  <c:v>481.10184422004716</c:v>
                </c:pt>
                <c:pt idx="60">
                  <c:v>490.00770971838784</c:v>
                </c:pt>
                <c:pt idx="61">
                  <c:v>500.37074689293001</c:v>
                </c:pt>
                <c:pt idx="62">
                  <c:v>512.11208677340255</c:v>
                </c:pt>
                <c:pt idx="63">
                  <c:v>525.14237067370004</c:v>
                </c:pt>
                <c:pt idx="64">
                  <c:v>539.36243026544071</c:v>
                </c:pt>
                <c:pt idx="65">
                  <c:v>554.66404230882472</c:v>
                </c:pt>
                <c:pt idx="66">
                  <c:v>570.93075229683598</c:v>
                </c:pt>
                <c:pt idx="67">
                  <c:v>588.03876074435766</c:v>
                </c:pt>
                <c:pt idx="68">
                  <c:v>605.85786537700642</c:v>
                </c:pt>
                <c:pt idx="69">
                  <c:v>624.25245204905775</c:v>
                </c:pt>
                <c:pt idx="70">
                  <c:v>643.0825268489823</c:v>
                </c:pt>
                <c:pt idx="71">
                  <c:v>662.20478153764327</c:v>
                </c:pt>
                <c:pt idx="72">
                  <c:v>681.47368421052624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71-4954-9BAF-E043E6ED73C9}"/>
            </c:ext>
          </c:extLst>
        </c:ser>
        <c:ser>
          <c:idx val="1"/>
          <c:order val="1"/>
          <c:tx>
            <c:strRef>
              <c:f>'MethylPropane H or H2 loss'!$I$2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'MethylPropane H or H2 loss'!$J$3:$J$4</c:f>
              <c:numCache>
                <c:formatCode>General</c:formatCode>
                <c:ptCount val="2"/>
                <c:pt idx="0">
                  <c:v>0</c:v>
                </c:pt>
                <c:pt idx="1">
                  <c:v>1660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71-4954-9BAF-E043E6ED73C9}"/>
            </c:ext>
          </c:extLst>
        </c:ser>
        <c:ser>
          <c:idx val="2"/>
          <c:order val="2"/>
          <c:tx>
            <c:strRef>
              <c:f>'MethylPropane H or H2 loss'!$K$2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756</c:v>
                </c:pt>
              </c:numCache>
            </c:numRef>
          </c:xVal>
          <c:yVal>
            <c:numRef>
              <c:f>'MethylPropane H or H2 loss'!$L$3:$L$4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E71-4954-9BAF-E043E6ED73C9}"/>
            </c:ext>
          </c:extLst>
        </c:ser>
        <c:ser>
          <c:idx val="3"/>
          <c:order val="3"/>
          <c:tx>
            <c:strRef>
              <c:f>'MethylPropane H or H2 loss'!$U$2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756</c:v>
                </c:pt>
              </c:numCache>
            </c:numRef>
          </c:xVal>
          <c:yVal>
            <c:numRef>
              <c:f>'MethylPropane H or H2 loss'!$V$3:$V$4</c:f>
              <c:numCache>
                <c:formatCode>General</c:formatCode>
                <c:ptCount val="2"/>
                <c:pt idx="0">
                  <c:v>1660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E71-4954-9BAF-E043E6ED73C9}"/>
            </c:ext>
          </c:extLst>
        </c:ser>
        <c:ser>
          <c:idx val="4"/>
          <c:order val="4"/>
          <c:tx>
            <c:strRef>
              <c:f>'MethylPropane H or H2 loss'!$M$2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loss'!$M$3:$M$4</c:f>
              <c:numCache>
                <c:formatCode>General</c:formatCode>
                <c:ptCount val="2"/>
                <c:pt idx="0">
                  <c:v>0</c:v>
                </c:pt>
                <c:pt idx="1">
                  <c:v>445.64210526315787</c:v>
                </c:pt>
              </c:numCache>
            </c:numRef>
          </c:xVal>
          <c:yVal>
            <c:numRef>
              <c:f>'MethylPropane H or H2 loss'!$N$3:$N$4</c:f>
              <c:numCache>
                <c:formatCode>General</c:formatCode>
                <c:ptCount val="2"/>
                <c:pt idx="0">
                  <c:v>0</c:v>
                </c:pt>
                <c:pt idx="1">
                  <c:v>681.47368421052624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E71-4954-9BAF-E043E6ED73C9}"/>
            </c:ext>
          </c:extLst>
        </c:ser>
        <c:ser>
          <c:idx val="5"/>
          <c:order val="5"/>
          <c:tx>
            <c:strRef>
              <c:f>'MethylPropane H or H2 loss'!$O$2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loss'!$O$3:$O$4</c:f>
              <c:numCache>
                <c:formatCode>General</c:formatCode>
                <c:ptCount val="2"/>
                <c:pt idx="0">
                  <c:v>0</c:v>
                </c:pt>
                <c:pt idx="1">
                  <c:v>541.24803360814042</c:v>
                </c:pt>
              </c:numCache>
            </c:numRef>
          </c:xVal>
          <c:yVal>
            <c:numRef>
              <c:f>'MethylPropane H or H2 loss'!$P$3:$P$4</c:f>
              <c:numCache>
                <c:formatCode>General</c:formatCode>
                <c:ptCount val="2"/>
                <c:pt idx="0">
                  <c:v>0</c:v>
                </c:pt>
                <c:pt idx="1">
                  <c:v>471.54532302974457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E71-4954-9BAF-E043E6ED73C9}"/>
            </c:ext>
          </c:extLst>
        </c:ser>
        <c:ser>
          <c:idx val="6"/>
          <c:order val="6"/>
          <c:tx>
            <c:strRef>
              <c:f>'MethylPropane H or H2 loss'!$Q$2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'MethylPropane H or H2 loss'!$Q$3:$Q$4</c:f>
              <c:numCache>
                <c:formatCode>General</c:formatCode>
                <c:ptCount val="2"/>
                <c:pt idx="0">
                  <c:v>0</c:v>
                </c:pt>
                <c:pt idx="1">
                  <c:v>308.46862784695048</c:v>
                </c:pt>
              </c:numCache>
            </c:numRef>
          </c:xVal>
          <c:yVal>
            <c:numRef>
              <c:f>'MethylPropane H or H2 loss'!$R$3:$R$4</c:f>
              <c:numCache>
                <c:formatCode>General</c:formatCode>
                <c:ptCount val="2"/>
                <c:pt idx="0">
                  <c:v>0</c:v>
                </c:pt>
                <c:pt idx="1">
                  <c:v>982.67470605034669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E71-4954-9BAF-E043E6ED7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305150952729482E-2"/>
          <c:y val="6.1743773517504881E-2"/>
          <c:w val="0.66177433739731617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'C2Cl Hloss'!$S$2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'C2Cl Hloss'!$S$3:$S$75</c:f>
              <c:numCache>
                <c:formatCode>General</c:formatCode>
                <c:ptCount val="73"/>
                <c:pt idx="0">
                  <c:v>1718.1662568830088</c:v>
                </c:pt>
                <c:pt idx="1">
                  <c:v>1713.0679094307498</c:v>
                </c:pt>
                <c:pt idx="2">
                  <c:v>1697.8116685765503</c:v>
                </c:pt>
                <c:pt idx="3">
                  <c:v>1672.5136435252816</c:v>
                </c:pt>
                <c:pt idx="4">
                  <c:v>1637.3663675229486</c:v>
                </c:pt>
                <c:pt idx="5">
                  <c:v>1592.637332562434</c:v>
                </c:pt>
                <c:pt idx="6">
                  <c:v>1538.6669536079185</c:v>
                </c:pt>
                <c:pt idx="7">
                  <c:v>1475.86597783145</c:v>
                </c:pt>
                <c:pt idx="8">
                  <c:v>1404.712358578955</c:v>
                </c:pt>
                <c:pt idx="9">
                  <c:v>1325.747617856674</c:v>
                </c:pt>
                <c:pt idx="10">
                  <c:v>1239.5727250217178</c:v>
                </c:pt>
                <c:pt idx="11">
                  <c:v>1146.8435230423834</c:v>
                </c:pt>
                <c:pt idx="12">
                  <c:v>1048.2657371371565</c:v>
                </c:pt>
                <c:pt idx="13">
                  <c:v>944.5896037796706</c:v>
                </c:pt>
                <c:pt idx="14">
                  <c:v>836.6041609461372</c:v>
                </c:pt>
                <c:pt idx="15">
                  <c:v>725.13124305991187</c:v>
                </c:pt>
                <c:pt idx="16">
                  <c:v>611.01922633529784</c:v>
                </c:pt>
                <c:pt idx="17">
                  <c:v>495.13657212228827</c:v>
                </c:pt>
                <c:pt idx="18">
                  <c:v>378.36521739130438</c:v>
                </c:pt>
                <c:pt idx="19">
                  <c:v>261.59386266032027</c:v>
                </c:pt>
                <c:pt idx="20">
                  <c:v>145.71120844731095</c:v>
                </c:pt>
                <c:pt idx="21">
                  <c:v>31.59919172269656</c:v>
                </c:pt>
                <c:pt idx="22">
                  <c:v>-79.873726163528318</c:v>
                </c:pt>
                <c:pt idx="23">
                  <c:v>-187.85916899706183</c:v>
                </c:pt>
                <c:pt idx="24">
                  <c:v>-291.53530235454753</c:v>
                </c:pt>
                <c:pt idx="25">
                  <c:v>-390.11308825977426</c:v>
                </c:pt>
                <c:pt idx="26">
                  <c:v>-482.84229023910905</c:v>
                </c:pt>
                <c:pt idx="27">
                  <c:v>-569.01718307406509</c:v>
                </c:pt>
                <c:pt idx="28">
                  <c:v>-647.981923796346</c:v>
                </c:pt>
                <c:pt idx="29">
                  <c:v>-719.13554304884121</c:v>
                </c:pt>
                <c:pt idx="30">
                  <c:v>-781.93651882530969</c:v>
                </c:pt>
                <c:pt idx="31">
                  <c:v>-835.9068977798255</c:v>
                </c:pt>
                <c:pt idx="32">
                  <c:v>-880.63593274033963</c:v>
                </c:pt>
                <c:pt idx="33">
                  <c:v>-915.78320874267263</c:v>
                </c:pt>
                <c:pt idx="34">
                  <c:v>-941.08123379394158</c:v>
                </c:pt>
                <c:pt idx="35">
                  <c:v>-956.33747464814098</c:v>
                </c:pt>
                <c:pt idx="36">
                  <c:v>-961.43582210040006</c:v>
                </c:pt>
                <c:pt idx="37">
                  <c:v>-956.33747464814098</c:v>
                </c:pt>
                <c:pt idx="38">
                  <c:v>-941.08123379394158</c:v>
                </c:pt>
                <c:pt idx="39">
                  <c:v>-915.78320874267308</c:v>
                </c:pt>
                <c:pt idx="40">
                  <c:v>-880.63593274033985</c:v>
                </c:pt>
                <c:pt idx="41">
                  <c:v>-835.90689777982573</c:v>
                </c:pt>
                <c:pt idx="42">
                  <c:v>-781.93651882530946</c:v>
                </c:pt>
                <c:pt idx="43">
                  <c:v>-719.1355430488419</c:v>
                </c:pt>
                <c:pt idx="44">
                  <c:v>-647.98192379634622</c:v>
                </c:pt>
                <c:pt idx="45">
                  <c:v>-569.01718307406543</c:v>
                </c:pt>
                <c:pt idx="46">
                  <c:v>-482.84229023910916</c:v>
                </c:pt>
                <c:pt idx="47">
                  <c:v>-390.11308825977505</c:v>
                </c:pt>
                <c:pt idx="48">
                  <c:v>-291.53530235454843</c:v>
                </c:pt>
                <c:pt idx="49">
                  <c:v>-187.85916899706262</c:v>
                </c:pt>
                <c:pt idx="50">
                  <c:v>-79.873726163529227</c:v>
                </c:pt>
                <c:pt idx="51">
                  <c:v>31.599191722696844</c:v>
                </c:pt>
                <c:pt idx="52">
                  <c:v>145.7112084473109</c:v>
                </c:pt>
                <c:pt idx="53">
                  <c:v>261.59386266032021</c:v>
                </c:pt>
                <c:pt idx="54">
                  <c:v>378.3652173913041</c:v>
                </c:pt>
                <c:pt idx="55">
                  <c:v>495.13657212228793</c:v>
                </c:pt>
                <c:pt idx="56">
                  <c:v>611.01922633529728</c:v>
                </c:pt>
                <c:pt idx="57">
                  <c:v>725.13124305991244</c:v>
                </c:pt>
                <c:pt idx="58">
                  <c:v>836.60416094613629</c:v>
                </c:pt>
                <c:pt idx="59">
                  <c:v>944.58960377967082</c:v>
                </c:pt>
                <c:pt idx="60">
                  <c:v>1048.2657371371565</c:v>
                </c:pt>
                <c:pt idx="61">
                  <c:v>1146.8435230423834</c:v>
                </c:pt>
                <c:pt idx="62">
                  <c:v>1239.5727250217176</c:v>
                </c:pt>
                <c:pt idx="63">
                  <c:v>1325.7476178566735</c:v>
                </c:pt>
                <c:pt idx="64">
                  <c:v>1404.7123585789545</c:v>
                </c:pt>
                <c:pt idx="65">
                  <c:v>1475.86597783145</c:v>
                </c:pt>
                <c:pt idx="66">
                  <c:v>1538.666953607918</c:v>
                </c:pt>
                <c:pt idx="67">
                  <c:v>1592.637332562434</c:v>
                </c:pt>
                <c:pt idx="68">
                  <c:v>1637.3663675229486</c:v>
                </c:pt>
                <c:pt idx="69">
                  <c:v>1672.5136435252816</c:v>
                </c:pt>
                <c:pt idx="70">
                  <c:v>1697.8116685765503</c:v>
                </c:pt>
                <c:pt idx="71">
                  <c:v>1713.0679094307498</c:v>
                </c:pt>
                <c:pt idx="72">
                  <c:v>1718.1662568830088</c:v>
                </c:pt>
              </c:numCache>
            </c:numRef>
          </c:xVal>
          <c:yVal>
            <c:numRef>
              <c:f>'C2Cl Hloss'!$T$3:$T$75</c:f>
              <c:numCache>
                <c:formatCode>General</c:formatCode>
                <c:ptCount val="73"/>
                <c:pt idx="0">
                  <c:v>846.52173913043475</c:v>
                </c:pt>
                <c:pt idx="1">
                  <c:v>963.2930938614187</c:v>
                </c:pt>
                <c:pt idx="2">
                  <c:v>1079.1757480744282</c:v>
                </c:pt>
                <c:pt idx="3">
                  <c:v>1193.2877647990424</c:v>
                </c:pt>
                <c:pt idx="4">
                  <c:v>1304.7606826852675</c:v>
                </c:pt>
                <c:pt idx="5">
                  <c:v>1412.7461255188009</c:v>
                </c:pt>
                <c:pt idx="6">
                  <c:v>1516.4222588762868</c:v>
                </c:pt>
                <c:pt idx="7">
                  <c:v>1615.0000447815137</c:v>
                </c:pt>
                <c:pt idx="8">
                  <c:v>1707.7292467608481</c:v>
                </c:pt>
                <c:pt idx="9">
                  <c:v>1793.9041395958043</c:v>
                </c:pt>
                <c:pt idx="10">
                  <c:v>1872.8688803180853</c:v>
                </c:pt>
                <c:pt idx="11">
                  <c:v>1944.0224995705805</c:v>
                </c:pt>
                <c:pt idx="12">
                  <c:v>2006.8234753470485</c:v>
                </c:pt>
                <c:pt idx="13">
                  <c:v>2060.7938543015644</c:v>
                </c:pt>
                <c:pt idx="14">
                  <c:v>2105.5228892620789</c:v>
                </c:pt>
                <c:pt idx="15">
                  <c:v>2140.6701652644119</c:v>
                </c:pt>
                <c:pt idx="16">
                  <c:v>2165.9681903156807</c:v>
                </c:pt>
                <c:pt idx="17">
                  <c:v>2181.2244311698801</c:v>
                </c:pt>
                <c:pt idx="18">
                  <c:v>2186.3227786221391</c:v>
                </c:pt>
                <c:pt idx="19">
                  <c:v>2181.2244311698801</c:v>
                </c:pt>
                <c:pt idx="20">
                  <c:v>2165.9681903156807</c:v>
                </c:pt>
                <c:pt idx="21">
                  <c:v>2140.6701652644119</c:v>
                </c:pt>
                <c:pt idx="22">
                  <c:v>2105.5228892620789</c:v>
                </c:pt>
                <c:pt idx="23">
                  <c:v>2060.7938543015648</c:v>
                </c:pt>
                <c:pt idx="24">
                  <c:v>2006.8234753470488</c:v>
                </c:pt>
                <c:pt idx="25">
                  <c:v>1944.022499570581</c:v>
                </c:pt>
                <c:pt idx="26">
                  <c:v>1872.8688803180853</c:v>
                </c:pt>
                <c:pt idx="27">
                  <c:v>1793.9041395958043</c:v>
                </c:pt>
                <c:pt idx="28">
                  <c:v>1707.7292467608481</c:v>
                </c:pt>
                <c:pt idx="29">
                  <c:v>1615.0000447815141</c:v>
                </c:pt>
                <c:pt idx="30">
                  <c:v>1516.4222588762868</c:v>
                </c:pt>
                <c:pt idx="31">
                  <c:v>1412.7461255188011</c:v>
                </c:pt>
                <c:pt idx="32">
                  <c:v>1304.7606826852675</c:v>
                </c:pt>
                <c:pt idx="33">
                  <c:v>1193.2877647990426</c:v>
                </c:pt>
                <c:pt idx="34">
                  <c:v>1079.1757480744282</c:v>
                </c:pt>
                <c:pt idx="35">
                  <c:v>963.29309386141938</c:v>
                </c:pt>
                <c:pt idx="36">
                  <c:v>846.52173913043487</c:v>
                </c:pt>
                <c:pt idx="37">
                  <c:v>729.75038439945104</c:v>
                </c:pt>
                <c:pt idx="38">
                  <c:v>613.86773018644112</c:v>
                </c:pt>
                <c:pt idx="39">
                  <c:v>499.75571346182767</c:v>
                </c:pt>
                <c:pt idx="40">
                  <c:v>388.28279557560217</c:v>
                </c:pt>
                <c:pt idx="41">
                  <c:v>280.29735274206871</c:v>
                </c:pt>
                <c:pt idx="42">
                  <c:v>176.62121938458245</c:v>
                </c:pt>
                <c:pt idx="43">
                  <c:v>78.043433479356167</c:v>
                </c:pt>
                <c:pt idx="44">
                  <c:v>-14.685768499978508</c:v>
                </c:pt>
                <c:pt idx="45">
                  <c:v>-100.86066133493466</c:v>
                </c:pt>
                <c:pt idx="46">
                  <c:v>-179.82540205721557</c:v>
                </c:pt>
                <c:pt idx="47">
                  <c:v>-250.97902130971079</c:v>
                </c:pt>
                <c:pt idx="48">
                  <c:v>-313.77999708617881</c:v>
                </c:pt>
                <c:pt idx="49">
                  <c:v>-367.75037604069485</c:v>
                </c:pt>
                <c:pt idx="50">
                  <c:v>-412.47941100120897</c:v>
                </c:pt>
                <c:pt idx="51">
                  <c:v>-447.62668700354243</c:v>
                </c:pt>
                <c:pt idx="52">
                  <c:v>-472.92471205481115</c:v>
                </c:pt>
                <c:pt idx="53">
                  <c:v>-488.18095290901056</c:v>
                </c:pt>
                <c:pt idx="54">
                  <c:v>-493.27930036126963</c:v>
                </c:pt>
                <c:pt idx="55">
                  <c:v>-488.18095290901056</c:v>
                </c:pt>
                <c:pt idx="56">
                  <c:v>-472.92471205481138</c:v>
                </c:pt>
                <c:pt idx="57">
                  <c:v>-447.6266870035422</c:v>
                </c:pt>
                <c:pt idx="58">
                  <c:v>-412.47941100120943</c:v>
                </c:pt>
                <c:pt idx="59">
                  <c:v>-367.75037604069507</c:v>
                </c:pt>
                <c:pt idx="60">
                  <c:v>-313.77999708617904</c:v>
                </c:pt>
                <c:pt idx="61">
                  <c:v>-250.97902130971102</c:v>
                </c:pt>
                <c:pt idx="62">
                  <c:v>-179.82540205721602</c:v>
                </c:pt>
                <c:pt idx="63">
                  <c:v>-100.860661334935</c:v>
                </c:pt>
                <c:pt idx="64">
                  <c:v>-14.685768499978963</c:v>
                </c:pt>
                <c:pt idx="65">
                  <c:v>78.043433479355258</c:v>
                </c:pt>
                <c:pt idx="66">
                  <c:v>176.62121938458199</c:v>
                </c:pt>
                <c:pt idx="67">
                  <c:v>280.29735274206769</c:v>
                </c:pt>
                <c:pt idx="68">
                  <c:v>388.28279557560222</c:v>
                </c:pt>
                <c:pt idx="69">
                  <c:v>499.75571346182721</c:v>
                </c:pt>
                <c:pt idx="70">
                  <c:v>613.8677301864401</c:v>
                </c:pt>
                <c:pt idx="71">
                  <c:v>729.75038439945058</c:v>
                </c:pt>
                <c:pt idx="72">
                  <c:v>846.52173913043441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9-44B9-90EA-46FC5ED764E4}"/>
            </c:ext>
          </c:extLst>
        </c:ser>
        <c:ser>
          <c:idx val="1"/>
          <c:order val="1"/>
          <c:tx>
            <c:strRef>
              <c:f>'C2Cl Hloss'!$I$2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'C2Cl Hloss'!$I$3:$I$4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Hloss'!$J$3:$J$4</c:f>
              <c:numCache>
                <c:formatCode>General</c:formatCode>
                <c:ptCount val="2"/>
                <c:pt idx="0">
                  <c:v>0</c:v>
                </c:pt>
                <c:pt idx="1">
                  <c:v>1650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9D9-44B9-90EA-46FC5ED764E4}"/>
            </c:ext>
          </c:extLst>
        </c:ser>
        <c:ser>
          <c:idx val="2"/>
          <c:order val="2"/>
          <c:tx>
            <c:strRef>
              <c:f>'C2Cl Hloss'!$K$2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'C2Cl Hloss'!$K$3:$K$4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'C2Cl Hloss'!$L$3:$L$4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9D9-44B9-90EA-46FC5ED764E4}"/>
            </c:ext>
          </c:extLst>
        </c:ser>
        <c:ser>
          <c:idx val="3"/>
          <c:order val="3"/>
          <c:tx>
            <c:strRef>
              <c:f>'C2Cl Hloss'!$U$2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'C2Cl Hloss'!$U$3:$U$4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777</c:v>
                </c:pt>
              </c:numCache>
            </c:numRef>
          </c:xVal>
          <c:yVal>
            <c:numRef>
              <c:f>'C2Cl Hloss'!$V$3:$V$4</c:f>
              <c:numCache>
                <c:formatCode>General</c:formatCode>
                <c:ptCount val="2"/>
                <c:pt idx="0">
                  <c:v>1650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9D9-44B9-90EA-46FC5ED764E4}"/>
            </c:ext>
          </c:extLst>
        </c:ser>
        <c:ser>
          <c:idx val="4"/>
          <c:order val="4"/>
          <c:tx>
            <c:strRef>
              <c:f>'C2Cl Hloss'!$M$2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'C2Cl Hloss'!$M$3:$M$4</c:f>
              <c:numCache>
                <c:formatCode>General</c:formatCode>
                <c:ptCount val="2"/>
                <c:pt idx="0">
                  <c:v>0</c:v>
                </c:pt>
                <c:pt idx="1">
                  <c:v>378.36521739130433</c:v>
                </c:pt>
              </c:numCache>
            </c:numRef>
          </c:xVal>
          <c:yVal>
            <c:numRef>
              <c:f>'C2Cl Hloss'!$N$3:$N$4</c:f>
              <c:numCache>
                <c:formatCode>General</c:formatCode>
                <c:ptCount val="2"/>
                <c:pt idx="0">
                  <c:v>0</c:v>
                </c:pt>
                <c:pt idx="1">
                  <c:v>846.52173913043475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9D9-44B9-90EA-46FC5ED764E4}"/>
            </c:ext>
          </c:extLst>
        </c:ser>
        <c:ser>
          <c:idx val="5"/>
          <c:order val="5"/>
          <c:tx>
            <c:strRef>
              <c:f>'C2Cl Hloss'!$O$2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'C2Cl Hloss'!$O$3:$O$4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Hloss'!$P$3:$P$4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9D9-44B9-90EA-46FC5ED764E4}"/>
            </c:ext>
          </c:extLst>
        </c:ser>
        <c:ser>
          <c:idx val="6"/>
          <c:order val="6"/>
          <c:tx>
            <c:strRef>
              <c:f>'C2Cl Hloss'!$Q$2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'C2Cl Hloss'!$Q$3:$Q$4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'C2Cl Hloss'!$R$3:$R$4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9D9-44B9-90EA-46FC5ED76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228599</xdr:colOff>
      <xdr:row>0</xdr:row>
      <xdr:rowOff>0</xdr:rowOff>
    </xdr:from>
    <xdr:to>
      <xdr:col>16</xdr:col>
      <xdr:colOff>542925</xdr:colOff>
      <xdr:row>34</xdr:row>
      <xdr:rowOff>180976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333374</xdr:colOff>
      <xdr:row>0</xdr:row>
      <xdr:rowOff>76199</xdr:rowOff>
    </xdr:from>
    <xdr:to>
      <xdr:col>17</xdr:col>
      <xdr:colOff>47625</xdr:colOff>
      <xdr:row>35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tabSelected="1" workbookViewId="0">
      <selection activeCell="F26" sqref="C24:F26"/>
    </sheetView>
  </sheetViews>
  <sheetFormatPr defaultColWidth="9" defaultRowHeight="15"/>
  <cols>
    <col min="1" max="1" width="15.7109375" style="1" bestFit="1" customWidth="1"/>
    <col min="2" max="2" width="19.140625" style="1" customWidth="1"/>
    <col min="3" max="4" width="12.42578125" style="1" bestFit="1" customWidth="1"/>
    <col min="5" max="5" width="16.7109375" style="1" customWidth="1"/>
    <col min="6" max="6" width="9.140625" style="1" bestFit="1" customWidth="1"/>
    <col min="7" max="7" width="10.5703125" style="1" bestFit="1" customWidth="1"/>
    <col min="8" max="16384" width="9" style="1"/>
  </cols>
  <sheetData>
    <row r="1" spans="1:22">
      <c r="A1" s="1" t="s">
        <v>0</v>
      </c>
      <c r="B1" s="1" t="s">
        <v>1</v>
      </c>
    </row>
    <row r="2" spans="1:22" ht="15.75" thickBot="1">
      <c r="I2" s="29" t="s">
        <v>16</v>
      </c>
      <c r="J2" s="29"/>
      <c r="K2" s="29" t="s">
        <v>17</v>
      </c>
      <c r="L2" s="29"/>
      <c r="M2" s="29" t="s">
        <v>4</v>
      </c>
      <c r="N2" s="29"/>
      <c r="O2" s="29" t="s">
        <v>14</v>
      </c>
      <c r="P2" s="29"/>
      <c r="Q2" s="29" t="s">
        <v>15</v>
      </c>
      <c r="R2" s="29"/>
      <c r="S2" s="29" t="s">
        <v>18</v>
      </c>
      <c r="T2" s="29"/>
      <c r="U2" s="29" t="s">
        <v>20</v>
      </c>
      <c r="V2" s="29"/>
    </row>
    <row r="3" spans="1:22" ht="15.75" thickBot="1">
      <c r="A3" s="2"/>
      <c r="B3" s="9">
        <v>1</v>
      </c>
      <c r="C3" s="9">
        <v>2</v>
      </c>
      <c r="D3" s="9">
        <v>3</v>
      </c>
      <c r="E3" s="10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$M$4+COS((ROW()-3)*5*PI()/180)*$B$15</f>
        <v>666.72796909053818</v>
      </c>
      <c r="T3" s="1">
        <f t="shared" ref="T3:T66" si="1">$N$4+SIN((ROW()-3)*5*PI()/180)*$B$15</f>
        <v>681.47368421052624</v>
      </c>
      <c r="U3" s="1">
        <v>0</v>
      </c>
      <c r="V3" s="1">
        <f>J4</f>
        <v>1660</v>
      </c>
    </row>
    <row r="4" spans="1:22" ht="15.75" thickTop="1">
      <c r="A4" s="7" t="s">
        <v>2</v>
      </c>
      <c r="B4" s="12" t="s">
        <v>45</v>
      </c>
      <c r="C4" s="13" t="s">
        <v>46</v>
      </c>
      <c r="D4" s="13"/>
      <c r="E4" s="14"/>
      <c r="I4" s="1">
        <v>0</v>
      </c>
      <c r="J4" s="1">
        <f>B9</f>
        <v>1660</v>
      </c>
      <c r="K4" s="3">
        <f>C9</f>
        <v>756</v>
      </c>
      <c r="L4" s="1">
        <v>0</v>
      </c>
      <c r="M4" s="1">
        <f>J4/(TAN(PI()/2-D18)+J4/K4)</f>
        <v>445.64210526315787</v>
      </c>
      <c r="N4" s="1">
        <f>M4*TAN(PI()/2-D18)</f>
        <v>681.47368421052624</v>
      </c>
      <c r="O4" s="1">
        <f>J4/(TAN(PI()/2-D19)+J4/K4)</f>
        <v>541.24803360814042</v>
      </c>
      <c r="P4" s="1">
        <f>O4*TAN(PI()/2-D19)</f>
        <v>471.54532302974457</v>
      </c>
      <c r="Q4" s="1">
        <f>J4/(TAN(PI()/2-D20)+J4/K4)</f>
        <v>308.46862784695048</v>
      </c>
      <c r="R4" s="1">
        <f>Q4*TAN(PI()/2-D20)</f>
        <v>982.67470605034669</v>
      </c>
      <c r="S4" s="1">
        <f t="shared" si="0"/>
        <v>665.88667063102776</v>
      </c>
      <c r="T4" s="1">
        <f t="shared" si="1"/>
        <v>700.74258688340922</v>
      </c>
      <c r="U4" s="3">
        <f>K4</f>
        <v>756</v>
      </c>
      <c r="V4" s="1">
        <v>0</v>
      </c>
    </row>
    <row r="5" spans="1:22">
      <c r="A5" s="7" t="s">
        <v>3</v>
      </c>
      <c r="B5" s="15" t="s">
        <v>43</v>
      </c>
      <c r="C5" s="11" t="s">
        <v>37</v>
      </c>
      <c r="D5" s="11" t="s">
        <v>44</v>
      </c>
      <c r="E5" s="16" t="s">
        <v>36</v>
      </c>
      <c r="S5" s="1">
        <f t="shared" si="0"/>
        <v>663.36917804176323</v>
      </c>
      <c r="T5" s="1">
        <f t="shared" si="1"/>
        <v>719.86484157206996</v>
      </c>
    </row>
    <row r="6" spans="1:22">
      <c r="A6" s="7" t="s">
        <v>10</v>
      </c>
      <c r="B6" s="15">
        <v>39</v>
      </c>
      <c r="C6" s="11">
        <v>56</v>
      </c>
      <c r="D6" s="11">
        <v>94</v>
      </c>
      <c r="E6" s="17">
        <v>1</v>
      </c>
      <c r="F6" s="1">
        <f>B6+C6-D6-E6</f>
        <v>0</v>
      </c>
      <c r="S6" s="1">
        <f t="shared" si="0"/>
        <v>659.19465096145257</v>
      </c>
      <c r="T6" s="1">
        <f t="shared" si="1"/>
        <v>738.69491637199474</v>
      </c>
    </row>
    <row r="7" spans="1:22">
      <c r="A7" s="7" t="s">
        <v>25</v>
      </c>
      <c r="B7" s="15">
        <v>526</v>
      </c>
      <c r="C7" s="11">
        <v>-18</v>
      </c>
      <c r="D7" s="28">
        <v>110</v>
      </c>
      <c r="E7" s="16">
        <v>218</v>
      </c>
      <c r="F7" s="1">
        <f>D7+E7-B7-C7</f>
        <v>-180</v>
      </c>
      <c r="S7" s="1">
        <f t="shared" si="0"/>
        <v>653.39486006182528</v>
      </c>
      <c r="T7" s="1">
        <f t="shared" si="1"/>
        <v>757.08950304404607</v>
      </c>
    </row>
    <row r="8" spans="1:22" ht="15.75" thickBot="1">
      <c r="A8" s="8" t="s">
        <v>22</v>
      </c>
      <c r="B8" s="18">
        <v>1602</v>
      </c>
      <c r="C8" s="19">
        <v>727</v>
      </c>
      <c r="D8" s="20"/>
      <c r="E8" s="21"/>
      <c r="S8" s="1">
        <f t="shared" si="0"/>
        <v>646.01394525363696</v>
      </c>
      <c r="T8" s="1">
        <f t="shared" si="1"/>
        <v>774.90860767669471</v>
      </c>
    </row>
    <row r="9" spans="1:22">
      <c r="A9" s="1" t="s">
        <v>13</v>
      </c>
      <c r="B9" s="1">
        <v>1660</v>
      </c>
      <c r="C9" s="1">
        <v>756</v>
      </c>
      <c r="S9" s="1">
        <f t="shared" si="0"/>
        <v>637.10807975529633</v>
      </c>
      <c r="T9" s="1">
        <f t="shared" si="1"/>
        <v>792.0166161242164</v>
      </c>
    </row>
    <row r="10" spans="1:22">
      <c r="S10" s="1">
        <f t="shared" si="0"/>
        <v>626.7450425807541</v>
      </c>
      <c r="T10" s="1">
        <f t="shared" si="1"/>
        <v>808.28332611222766</v>
      </c>
    </row>
    <row r="11" spans="1:22">
      <c r="A11" s="1" t="s">
        <v>12</v>
      </c>
      <c r="B11" s="5">
        <v>9.2100000000000009</v>
      </c>
      <c r="C11" s="5">
        <v>6.8</v>
      </c>
      <c r="S11" s="1">
        <f t="shared" si="0"/>
        <v>615.00370270028156</v>
      </c>
      <c r="T11" s="1">
        <f t="shared" si="1"/>
        <v>823.58493815561167</v>
      </c>
    </row>
    <row r="12" spans="1:22">
      <c r="A12" s="1" t="s">
        <v>8</v>
      </c>
      <c r="B12" s="5">
        <v>180000</v>
      </c>
      <c r="C12" s="26" t="s">
        <v>21</v>
      </c>
      <c r="S12" s="1">
        <f t="shared" si="0"/>
        <v>601.97341879998407</v>
      </c>
      <c r="T12" s="1">
        <f t="shared" si="1"/>
        <v>837.80499774735245</v>
      </c>
    </row>
    <row r="13" spans="1:22">
      <c r="A13" s="1" t="s">
        <v>6</v>
      </c>
      <c r="B13" s="1">
        <f>0.5*B6*C6*0.001*(B9*B9+C9*C9)/(B6+C6)</f>
        <v>38244.552757894737</v>
      </c>
      <c r="C13" s="26" t="s">
        <v>24</v>
      </c>
      <c r="F13" s="1" t="s">
        <v>49</v>
      </c>
      <c r="S13" s="1">
        <f t="shared" si="0"/>
        <v>587.75335920824341</v>
      </c>
      <c r="T13" s="1">
        <f t="shared" si="1"/>
        <v>850.83528164764994</v>
      </c>
    </row>
    <row r="14" spans="1:22">
      <c r="A14" s="1" t="s">
        <v>5</v>
      </c>
      <c r="B14" s="1">
        <f>((B12+B13)*2*1000*(B6+C6)/D6/E6)^0.5</f>
        <v>21003.157063601124</v>
      </c>
      <c r="C14" s="26"/>
      <c r="S14" s="1">
        <f t="shared" si="0"/>
        <v>572.45174716485928</v>
      </c>
      <c r="T14" s="1">
        <f t="shared" si="1"/>
        <v>862.57662152812247</v>
      </c>
    </row>
    <row r="15" spans="1:22">
      <c r="A15" s="1" t="s">
        <v>7</v>
      </c>
      <c r="B15" s="1">
        <f>E6*B14/(D6+E6)</f>
        <v>221.08586382738025</v>
      </c>
      <c r="C15" s="26" t="s">
        <v>9</v>
      </c>
      <c r="S15" s="1">
        <f t="shared" si="0"/>
        <v>556.18503717684803</v>
      </c>
      <c r="T15" s="1">
        <f t="shared" si="1"/>
        <v>872.9396587026647</v>
      </c>
    </row>
    <row r="16" spans="1:22">
      <c r="A16" s="1" t="s">
        <v>11</v>
      </c>
      <c r="B16" s="1">
        <f>(B6^2*B9^2+C6^2*C9^2)^0.5/(B6+C6)</f>
        <v>814.25012634622772</v>
      </c>
      <c r="C16" s="26" t="s">
        <v>9</v>
      </c>
      <c r="S16" s="1">
        <f t="shared" si="0"/>
        <v>539.07702872932634</v>
      </c>
      <c r="T16" s="1">
        <f t="shared" si="1"/>
        <v>881.84552420100533</v>
      </c>
    </row>
    <row r="17" spans="1:20">
      <c r="A17" s="1" t="s">
        <v>23</v>
      </c>
      <c r="B17" s="1">
        <v>0.75</v>
      </c>
      <c r="C17" s="26"/>
      <c r="S17" s="1">
        <f t="shared" si="0"/>
        <v>521.25792409667781</v>
      </c>
      <c r="T17" s="1">
        <f t="shared" si="1"/>
        <v>889.22643900919365</v>
      </c>
    </row>
    <row r="18" spans="1:20">
      <c r="A18" s="22" t="s">
        <v>4</v>
      </c>
      <c r="B18" s="23" t="str">
        <f>TEXT(ATAN(C6*C9/B6/B9)*180/PI()+$B$17,"0.00")&amp;"°"</f>
        <v>33.93°</v>
      </c>
      <c r="C18" s="26" t="s">
        <v>19</v>
      </c>
      <c r="D18" s="1">
        <f>ATAN(C6*C9/B6/B9)</f>
        <v>0.5791391895158573</v>
      </c>
      <c r="S18" s="1">
        <f t="shared" si="0"/>
        <v>502.86333742462637</v>
      </c>
      <c r="T18" s="1">
        <f t="shared" si="1"/>
        <v>895.02622990882094</v>
      </c>
    </row>
    <row r="19" spans="1:20">
      <c r="A19" s="22" t="s">
        <v>14</v>
      </c>
      <c r="B19" s="24" t="str">
        <f>TEXT(ATAN(C6*C9/B6/B9)*180/PI()+$B$17+ASIN(B15/B16)*180/PI(),"0.00")&amp;"°"</f>
        <v>49.69°</v>
      </c>
      <c r="C19" s="26" t="s">
        <v>19</v>
      </c>
      <c r="D19" s="1">
        <f>ATAN(C6*C9/B6/B9)+ASIN(B15/B16)</f>
        <v>0.85411205535471901</v>
      </c>
      <c r="S19" s="1">
        <f t="shared" si="0"/>
        <v>484.03326262470159</v>
      </c>
      <c r="T19" s="1">
        <f t="shared" si="1"/>
        <v>899.20075698913161</v>
      </c>
    </row>
    <row r="20" spans="1:20">
      <c r="A20" s="22" t="s">
        <v>15</v>
      </c>
      <c r="B20" s="24" t="str">
        <f>TEXT(ATAN(C6*C9/B6/B9)*180/PI()+$B$17-ASIN(B15/B16)*180/PI(),"0.00")&amp;"°"</f>
        <v>18.18°</v>
      </c>
      <c r="C20" s="26" t="s">
        <v>19</v>
      </c>
      <c r="D20" s="1">
        <f>ATAN(C6*C9/B6/B9)-ASIN(B15/B16)</f>
        <v>0.30416632367699559</v>
      </c>
      <c r="S20" s="1">
        <f t="shared" si="0"/>
        <v>464.91100793604079</v>
      </c>
      <c r="T20" s="1">
        <f t="shared" si="1"/>
        <v>901.71824957839613</v>
      </c>
    </row>
    <row r="21" spans="1:20">
      <c r="S21" s="1">
        <f t="shared" si="0"/>
        <v>445.64210526315787</v>
      </c>
      <c r="T21" s="1">
        <f t="shared" si="1"/>
        <v>902.55954803790655</v>
      </c>
    </row>
    <row r="22" spans="1:20">
      <c r="S22" s="1">
        <f t="shared" si="0"/>
        <v>426.3732025902749</v>
      </c>
      <c r="T22" s="1">
        <f t="shared" si="1"/>
        <v>901.71824957839613</v>
      </c>
    </row>
    <row r="23" spans="1:20">
      <c r="B23" s="1">
        <v>1610</v>
      </c>
      <c r="C23" s="1">
        <v>1660</v>
      </c>
      <c r="D23" s="1">
        <v>1710</v>
      </c>
      <c r="S23" s="1">
        <f t="shared" si="0"/>
        <v>407.25094790161421</v>
      </c>
      <c r="T23" s="1">
        <f t="shared" si="1"/>
        <v>899.20075698913161</v>
      </c>
    </row>
    <row r="24" spans="1:20">
      <c r="B24" s="1">
        <v>727</v>
      </c>
      <c r="C24" s="1">
        <v>756</v>
      </c>
      <c r="D24" s="1">
        <v>795</v>
      </c>
      <c r="E24" s="1" t="s">
        <v>47</v>
      </c>
      <c r="F24" s="1" t="s">
        <v>48</v>
      </c>
      <c r="S24" s="1">
        <f t="shared" si="0"/>
        <v>388.42087310168938</v>
      </c>
      <c r="T24" s="1">
        <f t="shared" si="1"/>
        <v>895.02622990882094</v>
      </c>
    </row>
    <row r="25" spans="1:20">
      <c r="A25" s="1" t="s">
        <v>6</v>
      </c>
      <c r="B25" s="1">
        <v>35.9</v>
      </c>
      <c r="C25" s="1">
        <v>38.24</v>
      </c>
      <c r="D25" s="1">
        <v>40.880000000000003</v>
      </c>
      <c r="E25" s="30">
        <f>STDEV(B25:D25)</f>
        <v>2.4915055689281553</v>
      </c>
      <c r="F25" s="1">
        <f>AVERAGE(B25:D25)</f>
        <v>38.340000000000003</v>
      </c>
      <c r="S25" s="1">
        <f t="shared" si="0"/>
        <v>370.02628642963799</v>
      </c>
      <c r="T25" s="1">
        <f t="shared" si="1"/>
        <v>889.22643900919365</v>
      </c>
    </row>
    <row r="26" spans="1:20">
      <c r="A26" s="1" t="s">
        <v>4</v>
      </c>
      <c r="B26" s="1">
        <v>33.71</v>
      </c>
      <c r="C26" s="1">
        <v>33.93</v>
      </c>
      <c r="D26" s="1">
        <v>34.479999999999997</v>
      </c>
      <c r="E26" s="30">
        <f>STDEV(B26:D26)</f>
        <v>0.39661064030103677</v>
      </c>
      <c r="F26" s="1">
        <f>AVERAGE(B26:D26)-0.75</f>
        <v>33.29</v>
      </c>
      <c r="S26" s="1">
        <f t="shared" si="0"/>
        <v>352.20718179698946</v>
      </c>
      <c r="T26" s="1">
        <f t="shared" si="1"/>
        <v>881.84552420100545</v>
      </c>
    </row>
    <row r="27" spans="1:20">
      <c r="S27" s="1">
        <f t="shared" si="0"/>
        <v>335.09917334946778</v>
      </c>
      <c r="T27" s="1">
        <f t="shared" si="1"/>
        <v>872.9396587026647</v>
      </c>
    </row>
    <row r="28" spans="1:20">
      <c r="S28" s="1">
        <f t="shared" si="0"/>
        <v>318.83246336145652</v>
      </c>
      <c r="T28" s="1">
        <f t="shared" si="1"/>
        <v>862.57662152812247</v>
      </c>
    </row>
    <row r="29" spans="1:20">
      <c r="S29" s="1">
        <f t="shared" si="0"/>
        <v>303.53085131807239</v>
      </c>
      <c r="T29" s="1">
        <f t="shared" si="1"/>
        <v>850.83528164764994</v>
      </c>
    </row>
    <row r="30" spans="1:20">
      <c r="S30" s="1">
        <f t="shared" si="0"/>
        <v>289.31079172633167</v>
      </c>
      <c r="T30" s="1">
        <f t="shared" si="1"/>
        <v>837.80499774735245</v>
      </c>
    </row>
    <row r="31" spans="1:20">
      <c r="S31" s="1">
        <f t="shared" si="0"/>
        <v>276.28050782603418</v>
      </c>
      <c r="T31" s="1">
        <f t="shared" si="1"/>
        <v>823.58493815561178</v>
      </c>
    </row>
    <row r="32" spans="1:20">
      <c r="S32" s="1">
        <f t="shared" si="0"/>
        <v>264.53916794556176</v>
      </c>
      <c r="T32" s="1">
        <f t="shared" si="1"/>
        <v>808.28332611222777</v>
      </c>
    </row>
    <row r="33" spans="1:20">
      <c r="E33" s="1">
        <f>STDEV(E37:E53)</f>
        <v>41.461179575172558</v>
      </c>
      <c r="F33" s="1">
        <f>STDEV(F37:F53)</f>
        <v>1.9228087222479793</v>
      </c>
      <c r="G33" s="1">
        <f>STDEV(G37:G53)</f>
        <v>49.381180038666841</v>
      </c>
      <c r="S33" s="1">
        <f t="shared" si="0"/>
        <v>254.17613077101947</v>
      </c>
      <c r="T33" s="1">
        <f t="shared" si="1"/>
        <v>792.0166161242164</v>
      </c>
    </row>
    <row r="34" spans="1:20">
      <c r="E34" s="3">
        <f>AVERAGE(E37:E53)</f>
        <v>1681.8235294117646</v>
      </c>
      <c r="F34" s="3">
        <f>AVERAGE(F37:F50)</f>
        <v>9.2107142857142872</v>
      </c>
      <c r="G34" s="3">
        <f>AVERAGE(G37:G53)</f>
        <v>1660.0997647171439</v>
      </c>
      <c r="S34" s="1">
        <f t="shared" si="0"/>
        <v>245.27026527267876</v>
      </c>
      <c r="T34" s="1">
        <f t="shared" si="1"/>
        <v>774.90860767669471</v>
      </c>
    </row>
    <row r="35" spans="1:20">
      <c r="S35" s="1">
        <f t="shared" si="0"/>
        <v>237.88935046449049</v>
      </c>
      <c r="T35" s="1">
        <f t="shared" si="1"/>
        <v>757.08950304404618</v>
      </c>
    </row>
    <row r="36" spans="1:20">
      <c r="A36" s="4" t="s">
        <v>26</v>
      </c>
      <c r="B36" s="4">
        <f>B37-1000000/480+B39/2-(B40/2-B41-B42)-0.0155*1000000/(B43*(B44+SQRT(B44*B44+4))/(B44+SQRT(B44*B44+8)))</f>
        <v>-204.55233963834178</v>
      </c>
      <c r="E36" s="5" t="s">
        <v>35</v>
      </c>
      <c r="F36" s="5" t="s">
        <v>12</v>
      </c>
      <c r="G36" s="5" t="s">
        <v>13</v>
      </c>
      <c r="H36" s="5"/>
      <c r="I36" s="5" t="s">
        <v>13</v>
      </c>
      <c r="J36" s="5" t="s">
        <v>32</v>
      </c>
      <c r="K36" s="5" t="s">
        <v>35</v>
      </c>
      <c r="S36" s="1">
        <f t="shared" si="0"/>
        <v>232.08955956486318</v>
      </c>
      <c r="T36" s="1">
        <f t="shared" si="1"/>
        <v>738.69491637199485</v>
      </c>
    </row>
    <row r="37" spans="1:20">
      <c r="A37" s="4" t="s">
        <v>27</v>
      </c>
      <c r="B37" s="27">
        <v>1879</v>
      </c>
      <c r="E37" s="1">
        <v>1733</v>
      </c>
      <c r="F37" s="1">
        <v>11.24</v>
      </c>
      <c r="G37" s="1">
        <f t="shared" ref="G37:G53" si="2">E37*(F37+SQRT(F37*F37+4))/(F37+SQRT(F37*F37+8))</f>
        <v>1719.8026837545292</v>
      </c>
      <c r="I37" s="1">
        <v>845</v>
      </c>
      <c r="J37" s="1">
        <v>11</v>
      </c>
      <c r="K37" s="1">
        <f>I37/((J37+SQRT(J37*J37+4))/(J37+SQRT(J37*J37+8)))</f>
        <v>851.76129852953136</v>
      </c>
      <c r="S37" s="1">
        <f t="shared" si="0"/>
        <v>227.91503248455254</v>
      </c>
      <c r="T37" s="1">
        <f t="shared" si="1"/>
        <v>719.86484157206996</v>
      </c>
    </row>
    <row r="38" spans="1:20">
      <c r="A38" s="4" t="s">
        <v>28</v>
      </c>
      <c r="B38" s="4">
        <v>480</v>
      </c>
      <c r="E38" s="1">
        <v>1705</v>
      </c>
      <c r="F38" s="1">
        <v>9.49</v>
      </c>
      <c r="G38" s="1">
        <f t="shared" si="2"/>
        <v>1687.0579556185573</v>
      </c>
      <c r="I38" s="1">
        <v>890</v>
      </c>
      <c r="J38" s="1">
        <v>7</v>
      </c>
      <c r="K38" s="1">
        <f t="shared" ref="K38:K51" si="3">I38/((J38+SQRT(J38*J38+4))/(J38+SQRT(J38*J38+8)))</f>
        <v>906.81043407876757</v>
      </c>
      <c r="S38" s="1">
        <f t="shared" si="0"/>
        <v>225.39753989528805</v>
      </c>
      <c r="T38" s="1">
        <f t="shared" si="1"/>
        <v>700.74258688340933</v>
      </c>
    </row>
    <row r="39" spans="1:20">
      <c r="A39" s="4" t="s">
        <v>34</v>
      </c>
      <c r="B39" s="4">
        <v>12</v>
      </c>
      <c r="E39" s="1">
        <v>1733</v>
      </c>
      <c r="F39" s="6">
        <v>11.26</v>
      </c>
      <c r="G39" s="1">
        <f t="shared" si="2"/>
        <v>1719.8477629012352</v>
      </c>
      <c r="I39" s="1">
        <v>860</v>
      </c>
      <c r="J39" s="1">
        <v>16.600000000000001</v>
      </c>
      <c r="K39" s="1">
        <f t="shared" si="3"/>
        <v>863.07638079457433</v>
      </c>
      <c r="S39" s="1">
        <f t="shared" si="0"/>
        <v>224.55624143577762</v>
      </c>
      <c r="T39" s="1">
        <f t="shared" si="1"/>
        <v>681.47368421052624</v>
      </c>
    </row>
    <row r="40" spans="1:20">
      <c r="A40" s="4" t="s">
        <v>33</v>
      </c>
      <c r="B40" s="27">
        <v>8.3000000000000007</v>
      </c>
      <c r="E40" s="1">
        <v>1678</v>
      </c>
      <c r="F40" s="1">
        <v>8.6</v>
      </c>
      <c r="G40" s="1">
        <f t="shared" si="2"/>
        <v>1656.7383642486618</v>
      </c>
      <c r="I40" s="1">
        <v>715</v>
      </c>
      <c r="J40" s="1">
        <v>8.5</v>
      </c>
      <c r="K40" s="1">
        <f t="shared" si="3"/>
        <v>724.38189375987486</v>
      </c>
      <c r="S40" s="1">
        <f t="shared" si="0"/>
        <v>225.39753989528805</v>
      </c>
      <c r="T40" s="1">
        <f t="shared" si="1"/>
        <v>662.20478153764338</v>
      </c>
    </row>
    <row r="41" spans="1:20">
      <c r="A41" s="4" t="s">
        <v>29</v>
      </c>
      <c r="B41" s="4">
        <v>0.15</v>
      </c>
      <c r="E41" s="1">
        <v>1691</v>
      </c>
      <c r="F41" s="1">
        <v>7.95</v>
      </c>
      <c r="G41" s="1">
        <f t="shared" si="2"/>
        <v>1666.1899326898479</v>
      </c>
      <c r="I41" s="1">
        <v>880</v>
      </c>
      <c r="J41" s="1">
        <v>10</v>
      </c>
      <c r="K41" s="1">
        <f t="shared" si="3"/>
        <v>888.46388700458874</v>
      </c>
      <c r="S41" s="1">
        <f t="shared" si="0"/>
        <v>227.91503248455254</v>
      </c>
      <c r="T41" s="1">
        <f t="shared" si="1"/>
        <v>643.08252684898252</v>
      </c>
    </row>
    <row r="42" spans="1:20">
      <c r="A42" s="4" t="s">
        <v>30</v>
      </c>
      <c r="B42" s="4">
        <v>7.1</v>
      </c>
      <c r="E42" s="1">
        <v>1700</v>
      </c>
      <c r="F42" s="1">
        <v>11.54</v>
      </c>
      <c r="G42" s="1">
        <f t="shared" si="2"/>
        <v>1687.6945103900696</v>
      </c>
      <c r="I42" s="1">
        <v>1740</v>
      </c>
      <c r="J42" s="1">
        <v>8.1</v>
      </c>
      <c r="K42" s="1">
        <f t="shared" si="3"/>
        <v>1765.0119079187446</v>
      </c>
      <c r="S42" s="1">
        <f t="shared" si="0"/>
        <v>232.08955956486315</v>
      </c>
      <c r="T42" s="1">
        <f t="shared" si="1"/>
        <v>624.25245204905787</v>
      </c>
    </row>
    <row r="43" spans="1:20">
      <c r="A43" s="4" t="s">
        <v>31</v>
      </c>
      <c r="B43" s="27">
        <v>1682</v>
      </c>
      <c r="E43" s="1">
        <v>1665</v>
      </c>
      <c r="F43" s="1">
        <v>7.32</v>
      </c>
      <c r="G43" s="1">
        <f t="shared" si="2"/>
        <v>1636.5531627136911</v>
      </c>
      <c r="I43" s="1">
        <v>982</v>
      </c>
      <c r="J43" s="1">
        <v>5.6</v>
      </c>
      <c r="K43" s="1">
        <f t="shared" si="3"/>
        <v>1009.8385210671111</v>
      </c>
      <c r="S43" s="1">
        <f t="shared" si="0"/>
        <v>237.88935046449046</v>
      </c>
      <c r="T43" s="1">
        <f t="shared" si="1"/>
        <v>605.85786537700642</v>
      </c>
    </row>
    <row r="44" spans="1:20">
      <c r="A44" s="4" t="s">
        <v>32</v>
      </c>
      <c r="B44" s="27">
        <v>9.2100000000000009</v>
      </c>
      <c r="E44" s="1">
        <v>1706</v>
      </c>
      <c r="F44" s="1">
        <v>8.91</v>
      </c>
      <c r="G44" s="1">
        <f t="shared" si="2"/>
        <v>1685.7752518813456</v>
      </c>
      <c r="I44" s="1">
        <v>778</v>
      </c>
      <c r="J44" s="1">
        <v>15.6</v>
      </c>
      <c r="K44" s="1">
        <f t="shared" si="3"/>
        <v>781.1453676825239</v>
      </c>
      <c r="S44" s="1">
        <f t="shared" si="0"/>
        <v>245.27026527267873</v>
      </c>
      <c r="T44" s="1">
        <f t="shared" si="1"/>
        <v>588.03876074435789</v>
      </c>
    </row>
    <row r="45" spans="1:20">
      <c r="E45" s="1">
        <v>1612</v>
      </c>
      <c r="F45" s="1">
        <v>6.31</v>
      </c>
      <c r="G45" s="1">
        <f t="shared" si="2"/>
        <v>1575.9756224331754</v>
      </c>
      <c r="I45" s="1">
        <v>1735</v>
      </c>
      <c r="J45" s="1">
        <v>19</v>
      </c>
      <c r="K45" s="1">
        <f t="shared" si="3"/>
        <v>1739.7535317024506</v>
      </c>
      <c r="S45" s="1">
        <f t="shared" si="0"/>
        <v>254.17613077101947</v>
      </c>
      <c r="T45" s="1">
        <f t="shared" si="1"/>
        <v>570.93075229683609</v>
      </c>
    </row>
    <row r="46" spans="1:20">
      <c r="E46" s="1">
        <v>1631</v>
      </c>
      <c r="F46" s="1">
        <v>7.12</v>
      </c>
      <c r="G46" s="1">
        <f t="shared" si="2"/>
        <v>1601.686277261872</v>
      </c>
      <c r="I46" s="1">
        <v>2644</v>
      </c>
      <c r="J46" s="1">
        <v>3.3</v>
      </c>
      <c r="K46" s="1">
        <f t="shared" si="3"/>
        <v>2824.0546211535025</v>
      </c>
      <c r="S46" s="1">
        <f t="shared" si="0"/>
        <v>264.53916794556164</v>
      </c>
      <c r="T46" s="1">
        <f t="shared" si="1"/>
        <v>554.66404230882495</v>
      </c>
    </row>
    <row r="47" spans="1:20">
      <c r="E47" s="1">
        <v>1692</v>
      </c>
      <c r="F47" s="1">
        <v>9.51</v>
      </c>
      <c r="G47" s="1">
        <f t="shared" si="2"/>
        <v>1674.2656972825578</v>
      </c>
      <c r="I47" s="1">
        <v>1581</v>
      </c>
      <c r="J47" s="1">
        <v>2.5</v>
      </c>
      <c r="K47" s="1">
        <f t="shared" si="3"/>
        <v>1739.9870271543989</v>
      </c>
      <c r="S47" s="1">
        <f t="shared" si="0"/>
        <v>276.28050782603418</v>
      </c>
      <c r="T47" s="1">
        <f t="shared" si="1"/>
        <v>539.36243026544082</v>
      </c>
    </row>
    <row r="48" spans="1:20">
      <c r="E48" s="1">
        <v>1722</v>
      </c>
      <c r="F48" s="1">
        <v>12.02</v>
      </c>
      <c r="G48" s="1">
        <f t="shared" si="2"/>
        <v>1710.4785374315506</v>
      </c>
      <c r="I48" s="1">
        <v>90</v>
      </c>
      <c r="J48" s="1">
        <v>9.5</v>
      </c>
      <c r="K48" s="1">
        <f t="shared" si="3"/>
        <v>90.955229920873251</v>
      </c>
      <c r="S48" s="1">
        <f t="shared" si="0"/>
        <v>289.31079172633162</v>
      </c>
      <c r="T48" s="1">
        <f t="shared" si="1"/>
        <v>525.14237067370004</v>
      </c>
    </row>
    <row r="49" spans="5:20">
      <c r="E49" s="1">
        <v>1659</v>
      </c>
      <c r="F49" s="1">
        <v>7.78</v>
      </c>
      <c r="G49" s="1">
        <f t="shared" si="2"/>
        <v>1633.6647393529195</v>
      </c>
      <c r="I49" s="1">
        <v>710</v>
      </c>
      <c r="J49" s="1">
        <v>10</v>
      </c>
      <c r="K49" s="1">
        <f t="shared" si="3"/>
        <v>716.82881792415674</v>
      </c>
      <c r="S49" s="1">
        <f t="shared" si="0"/>
        <v>303.53085131807234</v>
      </c>
      <c r="T49" s="1">
        <f t="shared" si="1"/>
        <v>512.11208677340255</v>
      </c>
    </row>
    <row r="50" spans="5:20">
      <c r="E50" s="1">
        <v>1703</v>
      </c>
      <c r="F50" s="1">
        <v>9.9</v>
      </c>
      <c r="G50" s="1">
        <f t="shared" si="2"/>
        <v>1686.4629012692114</v>
      </c>
      <c r="I50" s="1">
        <v>730</v>
      </c>
      <c r="J50" s="1">
        <v>8</v>
      </c>
      <c r="K50" s="1">
        <f t="shared" si="3"/>
        <v>740.74227012646406</v>
      </c>
      <c r="S50" s="1">
        <f t="shared" si="0"/>
        <v>318.8324633614564</v>
      </c>
      <c r="T50" s="1">
        <f t="shared" si="1"/>
        <v>500.37074689293013</v>
      </c>
    </row>
    <row r="51" spans="5:20">
      <c r="E51" s="6">
        <v>1726</v>
      </c>
      <c r="F51" s="1">
        <v>10.94</v>
      </c>
      <c r="G51" s="1">
        <f t="shared" si="2"/>
        <v>1712.1542662424663</v>
      </c>
      <c r="I51" s="1">
        <v>746</v>
      </c>
      <c r="J51" s="1">
        <v>17.3</v>
      </c>
      <c r="K51" s="1">
        <f t="shared" si="3"/>
        <v>748.45977227089656</v>
      </c>
      <c r="S51" s="1">
        <f t="shared" si="0"/>
        <v>335.09917334946766</v>
      </c>
      <c r="T51" s="1">
        <f t="shared" si="1"/>
        <v>490.0077097183879</v>
      </c>
    </row>
    <row r="52" spans="5:20">
      <c r="E52" s="1">
        <v>1623</v>
      </c>
      <c r="F52" s="1">
        <v>6.81</v>
      </c>
      <c r="G52" s="1">
        <f t="shared" si="2"/>
        <v>1591.3727122865803</v>
      </c>
      <c r="S52" s="1">
        <f t="shared" si="0"/>
        <v>352.20718179698935</v>
      </c>
      <c r="T52" s="1">
        <f t="shared" si="1"/>
        <v>481.10184422004716</v>
      </c>
    </row>
    <row r="53" spans="5:20">
      <c r="E53" s="1">
        <v>1612</v>
      </c>
      <c r="F53" s="1">
        <v>6.31</v>
      </c>
      <c r="G53" s="1">
        <f t="shared" si="2"/>
        <v>1575.9756224331754</v>
      </c>
      <c r="S53" s="1">
        <f t="shared" si="0"/>
        <v>370.02628642963782</v>
      </c>
      <c r="T53" s="1">
        <f t="shared" si="1"/>
        <v>473.72092941185883</v>
      </c>
    </row>
    <row r="54" spans="5:20">
      <c r="S54" s="1">
        <f t="shared" si="0"/>
        <v>388.42087310168938</v>
      </c>
      <c r="T54" s="1">
        <f t="shared" si="1"/>
        <v>467.92113851223155</v>
      </c>
    </row>
    <row r="55" spans="5:20">
      <c r="S55" s="1">
        <f t="shared" si="0"/>
        <v>407.25094790161415</v>
      </c>
      <c r="T55" s="1">
        <f t="shared" si="1"/>
        <v>463.74661143192088</v>
      </c>
    </row>
    <row r="56" spans="5:20">
      <c r="S56" s="1">
        <f t="shared" si="0"/>
        <v>426.3732025902749</v>
      </c>
      <c r="T56" s="1">
        <f t="shared" si="1"/>
        <v>461.22911884265642</v>
      </c>
    </row>
    <row r="57" spans="5:20">
      <c r="S57" s="1">
        <f t="shared" si="0"/>
        <v>445.64210526315782</v>
      </c>
      <c r="T57" s="1">
        <f t="shared" si="1"/>
        <v>460.38782038314599</v>
      </c>
    </row>
    <row r="58" spans="5:20">
      <c r="S58" s="1">
        <f t="shared" si="0"/>
        <v>464.91100793604073</v>
      </c>
      <c r="T58" s="1">
        <f t="shared" si="1"/>
        <v>461.22911884265642</v>
      </c>
    </row>
    <row r="59" spans="5:20">
      <c r="S59" s="1">
        <f t="shared" si="0"/>
        <v>484.03326262470148</v>
      </c>
      <c r="T59" s="1">
        <f t="shared" si="1"/>
        <v>463.74661143192088</v>
      </c>
    </row>
    <row r="60" spans="5:20">
      <c r="S60" s="1">
        <f t="shared" si="0"/>
        <v>502.86333742462642</v>
      </c>
      <c r="T60" s="1">
        <f t="shared" si="1"/>
        <v>467.92113851223155</v>
      </c>
    </row>
    <row r="61" spans="5:20">
      <c r="E61" s="6"/>
      <c r="S61" s="1">
        <f t="shared" si="0"/>
        <v>521.25792409667758</v>
      </c>
      <c r="T61" s="1">
        <f t="shared" si="1"/>
        <v>473.72092941185883</v>
      </c>
    </row>
    <row r="62" spans="5:20">
      <c r="S62" s="1">
        <f t="shared" si="0"/>
        <v>539.07702872932634</v>
      </c>
      <c r="T62" s="1">
        <f t="shared" si="1"/>
        <v>481.10184422004716</v>
      </c>
    </row>
    <row r="63" spans="5:20">
      <c r="S63" s="1">
        <f t="shared" si="0"/>
        <v>556.18503717684803</v>
      </c>
      <c r="T63" s="1">
        <f t="shared" si="1"/>
        <v>490.00770971838784</v>
      </c>
    </row>
    <row r="64" spans="5:20">
      <c r="S64" s="1">
        <f t="shared" si="0"/>
        <v>572.45174716485928</v>
      </c>
      <c r="T64" s="1">
        <f t="shared" si="1"/>
        <v>500.37074689293001</v>
      </c>
    </row>
    <row r="65" spans="19:20">
      <c r="S65" s="1">
        <f t="shared" si="0"/>
        <v>587.7533592082433</v>
      </c>
      <c r="T65" s="1">
        <f t="shared" si="1"/>
        <v>512.11208677340255</v>
      </c>
    </row>
    <row r="66" spans="19:20">
      <c r="S66" s="1">
        <f t="shared" si="0"/>
        <v>601.97341879998407</v>
      </c>
      <c r="T66" s="1">
        <f t="shared" si="1"/>
        <v>525.14237067370004</v>
      </c>
    </row>
    <row r="67" spans="19:20">
      <c r="S67" s="1">
        <f t="shared" ref="S67:S75" si="4">$M$4+COS((ROW()-3)*5*PI()/180)*$B$15</f>
        <v>615.00370270028156</v>
      </c>
      <c r="T67" s="1">
        <f t="shared" ref="T67:T75" si="5">$N$4+SIN((ROW()-3)*5*PI()/180)*$B$15</f>
        <v>539.36243026544071</v>
      </c>
    </row>
    <row r="68" spans="19:20">
      <c r="S68" s="1">
        <f t="shared" si="4"/>
        <v>626.74504258075399</v>
      </c>
      <c r="T68" s="1">
        <f t="shared" si="5"/>
        <v>554.66404230882472</v>
      </c>
    </row>
    <row r="69" spans="19:20">
      <c r="S69" s="1">
        <f t="shared" si="4"/>
        <v>637.10807975529622</v>
      </c>
      <c r="T69" s="1">
        <f t="shared" si="5"/>
        <v>570.93075229683598</v>
      </c>
    </row>
    <row r="70" spans="19:20">
      <c r="S70" s="1">
        <f t="shared" si="4"/>
        <v>646.01394525363696</v>
      </c>
      <c r="T70" s="1">
        <f t="shared" si="5"/>
        <v>588.03876074435766</v>
      </c>
    </row>
    <row r="71" spans="19:20">
      <c r="S71" s="1">
        <f t="shared" si="4"/>
        <v>653.39486006182528</v>
      </c>
      <c r="T71" s="1">
        <f t="shared" si="5"/>
        <v>605.85786537700642</v>
      </c>
    </row>
    <row r="72" spans="19:20">
      <c r="S72" s="1">
        <f t="shared" si="4"/>
        <v>659.19465096145257</v>
      </c>
      <c r="T72" s="1">
        <f t="shared" si="5"/>
        <v>624.25245204905775</v>
      </c>
    </row>
    <row r="73" spans="19:20">
      <c r="S73" s="1">
        <f t="shared" si="4"/>
        <v>663.36917804176323</v>
      </c>
      <c r="T73" s="1">
        <f t="shared" si="5"/>
        <v>643.0825268489823</v>
      </c>
    </row>
    <row r="74" spans="19:20">
      <c r="S74" s="1">
        <f t="shared" si="4"/>
        <v>665.88667063102776</v>
      </c>
      <c r="T74" s="1">
        <f t="shared" si="5"/>
        <v>662.20478153764327</v>
      </c>
    </row>
    <row r="75" spans="19:20">
      <c r="S75" s="1">
        <f t="shared" si="4"/>
        <v>666.72796909053818</v>
      </c>
      <c r="T75" s="1">
        <f t="shared" si="5"/>
        <v>681.47368421052624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workbookViewId="0">
      <selection activeCell="E14" sqref="E14"/>
    </sheetView>
  </sheetViews>
  <sheetFormatPr defaultColWidth="9" defaultRowHeight="15"/>
  <cols>
    <col min="1" max="1" width="15.7109375" style="1" bestFit="1" customWidth="1"/>
    <col min="2" max="2" width="19.140625" style="1" customWidth="1"/>
    <col min="3" max="4" width="12.42578125" style="1" bestFit="1" customWidth="1"/>
    <col min="5" max="5" width="16.7109375" style="1" customWidth="1"/>
    <col min="6" max="16384" width="9" style="1"/>
  </cols>
  <sheetData>
    <row r="1" spans="1:22">
      <c r="A1" s="1" t="s">
        <v>0</v>
      </c>
      <c r="B1" s="1" t="s">
        <v>1</v>
      </c>
    </row>
    <row r="2" spans="1:22" ht="15.75" thickBot="1">
      <c r="I2" s="29" t="s">
        <v>16</v>
      </c>
      <c r="J2" s="29"/>
      <c r="K2" s="29" t="s">
        <v>17</v>
      </c>
      <c r="L2" s="29"/>
      <c r="M2" s="29" t="s">
        <v>4</v>
      </c>
      <c r="N2" s="29"/>
      <c r="O2" s="29" t="s">
        <v>14</v>
      </c>
      <c r="P2" s="29"/>
      <c r="Q2" s="29" t="s">
        <v>15</v>
      </c>
      <c r="R2" s="29"/>
      <c r="S2" s="29" t="s">
        <v>18</v>
      </c>
      <c r="T2" s="29"/>
      <c r="U2" s="29" t="s">
        <v>20</v>
      </c>
      <c r="V2" s="29"/>
    </row>
    <row r="3" spans="1:22" ht="15.75" thickBot="1">
      <c r="A3" s="2"/>
      <c r="B3" s="9">
        <v>1</v>
      </c>
      <c r="C3" s="9">
        <v>2</v>
      </c>
      <c r="D3" s="9">
        <v>3</v>
      </c>
      <c r="E3" s="10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 t="shared" ref="S3:S66" si="0">$M$4+COS((ROW()-3)*5*PI()/180)*$B$15</f>
        <v>1718.1662568830088</v>
      </c>
      <c r="T3" s="1">
        <f t="shared" ref="T3:T66" si="1">$N$4+SIN((ROW()-3)*5*PI()/180)*$B$15</f>
        <v>846.52173913043475</v>
      </c>
      <c r="U3" s="1">
        <v>0</v>
      </c>
      <c r="V3" s="1">
        <f>J4</f>
        <v>1650</v>
      </c>
    </row>
    <row r="4" spans="1:22" ht="15.75" thickTop="1">
      <c r="A4" s="7" t="s">
        <v>2</v>
      </c>
      <c r="B4" s="12" t="s">
        <v>41</v>
      </c>
      <c r="C4" s="13" t="s">
        <v>38</v>
      </c>
      <c r="D4" s="13"/>
      <c r="E4" s="14"/>
      <c r="I4" s="1">
        <v>0</v>
      </c>
      <c r="J4" s="1">
        <f>B9</f>
        <v>1650</v>
      </c>
      <c r="K4" s="3">
        <f>C9</f>
        <v>777</v>
      </c>
      <c r="L4" s="1">
        <v>0</v>
      </c>
      <c r="M4" s="1">
        <f>J4/(TAN(PI()/2-D18)+J4/K4)</f>
        <v>378.36521739130433</v>
      </c>
      <c r="N4" s="1">
        <f>M4*TAN(PI()/2-D18)</f>
        <v>846.52173913043475</v>
      </c>
      <c r="O4" s="1" t="e">
        <f>J4/(TAN(PI()/2-D19)+J4/K4)</f>
        <v>#NUM!</v>
      </c>
      <c r="P4" s="1" t="e">
        <f>O4*TAN(PI()/2-D19)</f>
        <v>#NUM!</v>
      </c>
      <c r="Q4" s="1" t="e">
        <f>J4/(TAN(PI()/2-D20)+J4/K4)</f>
        <v>#NUM!</v>
      </c>
      <c r="R4" s="1" t="e">
        <f>Q4*TAN(PI()/2-D20)</f>
        <v>#NUM!</v>
      </c>
      <c r="S4" s="1">
        <f t="shared" si="0"/>
        <v>1713.0679094307498</v>
      </c>
      <c r="T4" s="1">
        <f t="shared" si="1"/>
        <v>963.2930938614187</v>
      </c>
      <c r="U4" s="3">
        <f>K4</f>
        <v>777</v>
      </c>
      <c r="V4" s="1">
        <v>0</v>
      </c>
    </row>
    <row r="5" spans="1:22">
      <c r="A5" s="7" t="s">
        <v>3</v>
      </c>
      <c r="B5" s="15" t="s">
        <v>40</v>
      </c>
      <c r="C5" s="11" t="s">
        <v>37</v>
      </c>
      <c r="D5" s="11" t="s">
        <v>39</v>
      </c>
      <c r="E5" s="16" t="s">
        <v>42</v>
      </c>
      <c r="S5" s="1">
        <f t="shared" si="0"/>
        <v>1697.8116685765503</v>
      </c>
      <c r="T5" s="1">
        <f t="shared" si="1"/>
        <v>1079.1757480744282</v>
      </c>
    </row>
    <row r="6" spans="1:22">
      <c r="A6" s="7" t="s">
        <v>10</v>
      </c>
      <c r="B6" s="15">
        <v>59</v>
      </c>
      <c r="C6" s="11">
        <v>56</v>
      </c>
      <c r="D6" s="11">
        <v>79</v>
      </c>
      <c r="E6" s="17">
        <v>16</v>
      </c>
      <c r="F6" s="1">
        <f>B6+C6</f>
        <v>115</v>
      </c>
      <c r="S6" s="1">
        <f t="shared" si="0"/>
        <v>1672.5136435252816</v>
      </c>
      <c r="T6" s="1">
        <f t="shared" si="1"/>
        <v>1193.2877647990424</v>
      </c>
    </row>
    <row r="7" spans="1:22">
      <c r="A7" s="7" t="s">
        <v>25</v>
      </c>
      <c r="B7" s="15">
        <v>837</v>
      </c>
      <c r="C7" s="11">
        <v>-18</v>
      </c>
      <c r="D7" s="11">
        <v>788</v>
      </c>
      <c r="E7" s="16">
        <v>218</v>
      </c>
      <c r="F7" s="1">
        <f>D7+E7-B7-C7</f>
        <v>187</v>
      </c>
      <c r="S7" s="1">
        <f t="shared" si="0"/>
        <v>1637.3663675229486</v>
      </c>
      <c r="T7" s="1">
        <f t="shared" si="1"/>
        <v>1304.7606826852675</v>
      </c>
    </row>
    <row r="8" spans="1:22" ht="15.75" thickBot="1">
      <c r="A8" s="8" t="s">
        <v>22</v>
      </c>
      <c r="B8" s="18">
        <v>1602</v>
      </c>
      <c r="C8" s="19">
        <v>727</v>
      </c>
      <c r="D8" s="20"/>
      <c r="E8" s="21"/>
      <c r="S8" s="1">
        <f t="shared" si="0"/>
        <v>1592.637332562434</v>
      </c>
      <c r="T8" s="1">
        <f t="shared" si="1"/>
        <v>1412.7461255188009</v>
      </c>
    </row>
    <row r="9" spans="1:22">
      <c r="A9" s="1" t="s">
        <v>13</v>
      </c>
      <c r="B9" s="1">
        <v>1650</v>
      </c>
      <c r="C9" s="1">
        <v>777</v>
      </c>
      <c r="S9" s="1">
        <f t="shared" si="0"/>
        <v>1538.6669536079185</v>
      </c>
      <c r="T9" s="1">
        <f t="shared" si="1"/>
        <v>1516.4222588762868</v>
      </c>
    </row>
    <row r="10" spans="1:22">
      <c r="S10" s="1">
        <f t="shared" si="0"/>
        <v>1475.86597783145</v>
      </c>
      <c r="T10" s="1">
        <f t="shared" si="1"/>
        <v>1615.0000447815137</v>
      </c>
    </row>
    <row r="11" spans="1:22">
      <c r="A11" s="1" t="s">
        <v>12</v>
      </c>
      <c r="B11" s="5">
        <v>10.7</v>
      </c>
      <c r="C11" s="5">
        <v>8.5</v>
      </c>
      <c r="S11" s="1">
        <f t="shared" si="0"/>
        <v>1404.712358578955</v>
      </c>
      <c r="T11" s="1">
        <f t="shared" si="1"/>
        <v>1707.7292467608481</v>
      </c>
    </row>
    <row r="12" spans="1:22">
      <c r="A12" s="1" t="s">
        <v>8</v>
      </c>
      <c r="B12" s="5">
        <v>300000</v>
      </c>
      <c r="C12" s="25" t="s">
        <v>21</v>
      </c>
      <c r="E12" s="1">
        <f>36+3+14+B6</f>
        <v>112</v>
      </c>
      <c r="S12" s="1">
        <f t="shared" si="0"/>
        <v>1325.747617856674</v>
      </c>
      <c r="T12" s="1">
        <f t="shared" si="1"/>
        <v>1793.9041395958043</v>
      </c>
    </row>
    <row r="13" spans="1:22">
      <c r="A13" s="1" t="s">
        <v>6</v>
      </c>
      <c r="B13" s="1">
        <f>0.5*B6*C6*0.001*(B9*B9+C9*C9)/(B6+C6)</f>
        <v>47782.002678260869</v>
      </c>
      <c r="C13" s="25" t="s">
        <v>24</v>
      </c>
      <c r="S13" s="1">
        <f t="shared" si="0"/>
        <v>1239.5727250217178</v>
      </c>
      <c r="T13" s="1">
        <f t="shared" si="1"/>
        <v>1872.8688803180853</v>
      </c>
    </row>
    <row r="14" spans="1:22">
      <c r="A14" s="1" t="s">
        <v>5</v>
      </c>
      <c r="B14" s="1">
        <f>((B12+B13)*2*1000*(B6+C6)/D6/E6)^0.5</f>
        <v>7955.0686719819942</v>
      </c>
      <c r="C14" s="25"/>
      <c r="S14" s="1">
        <f t="shared" si="0"/>
        <v>1146.8435230423834</v>
      </c>
      <c r="T14" s="1">
        <f t="shared" si="1"/>
        <v>1944.0224995705805</v>
      </c>
    </row>
    <row r="15" spans="1:22">
      <c r="A15" s="1" t="s">
        <v>7</v>
      </c>
      <c r="B15" s="1">
        <f>E6*B14/(D6+E6)</f>
        <v>1339.8010394917044</v>
      </c>
      <c r="C15" s="25" t="s">
        <v>9</v>
      </c>
      <c r="S15" s="1">
        <f t="shared" si="0"/>
        <v>1048.2657371371565</v>
      </c>
      <c r="T15" s="1">
        <f t="shared" si="1"/>
        <v>2006.8234753470485</v>
      </c>
    </row>
    <row r="16" spans="1:22">
      <c r="A16" s="1" t="s">
        <v>11</v>
      </c>
      <c r="B16" s="1">
        <f>(B6^2*B9^2+C6^2*C9^2)^0.5/(B6+C6)</f>
        <v>927.23205970888694</v>
      </c>
      <c r="C16" s="25" t="s">
        <v>9</v>
      </c>
      <c r="S16" s="1">
        <f t="shared" si="0"/>
        <v>944.5896037796706</v>
      </c>
      <c r="T16" s="1">
        <f t="shared" si="1"/>
        <v>2060.7938543015644</v>
      </c>
    </row>
    <row r="17" spans="1:20">
      <c r="A17" s="1" t="s">
        <v>23</v>
      </c>
      <c r="B17" s="1">
        <v>0.75</v>
      </c>
      <c r="C17" s="25"/>
      <c r="S17" s="1">
        <f t="shared" si="0"/>
        <v>836.6041609461372</v>
      </c>
      <c r="T17" s="1">
        <f t="shared" si="1"/>
        <v>2105.5228892620789</v>
      </c>
    </row>
    <row r="18" spans="1:20">
      <c r="A18" s="22" t="s">
        <v>4</v>
      </c>
      <c r="B18" s="23" t="str">
        <f>TEXT(ATAN(C6*C9/B6/B9)*180/PI()+$B$17,"0.00")&amp;"°"</f>
        <v>24.83°</v>
      </c>
      <c r="C18" s="25" t="s">
        <v>19</v>
      </c>
      <c r="D18" s="1">
        <f>ATAN(C6*C9/B6/B9)</f>
        <v>0.42032678716021643</v>
      </c>
      <c r="S18" s="1">
        <f t="shared" si="0"/>
        <v>725.13124305991187</v>
      </c>
      <c r="T18" s="1">
        <f t="shared" si="1"/>
        <v>2140.6701652644119</v>
      </c>
    </row>
    <row r="19" spans="1:20">
      <c r="A19" s="22" t="s">
        <v>14</v>
      </c>
      <c r="B19" s="24" t="e">
        <f>TEXT(ATAN(C6*C9/B6/B9)*180/PI()+$B$17+ASIN(B15/B16)*180/PI(),"0.00")&amp;"°"</f>
        <v>#NUM!</v>
      </c>
      <c r="C19" s="25" t="s">
        <v>19</v>
      </c>
      <c r="D19" s="1" t="e">
        <f>ATAN(C6*C9/B6/B9)+ASIN(B15/B16)</f>
        <v>#NUM!</v>
      </c>
      <c r="S19" s="1">
        <f t="shared" si="0"/>
        <v>611.01922633529784</v>
      </c>
      <c r="T19" s="1">
        <f t="shared" si="1"/>
        <v>2165.9681903156807</v>
      </c>
    </row>
    <row r="20" spans="1:20">
      <c r="A20" s="22" t="s">
        <v>15</v>
      </c>
      <c r="B20" s="24" t="e">
        <f>TEXT(ATAN(C6*C9/B6/B9)*180/PI()+$B$17-ASIN(B15/B16)*180/PI(),"0.00")&amp;"°"</f>
        <v>#NUM!</v>
      </c>
      <c r="C20" s="25" t="s">
        <v>19</v>
      </c>
      <c r="D20" s="1" t="e">
        <f>ATAN(C6*C9/B6/B9)-ASIN(B15/B16)</f>
        <v>#NUM!</v>
      </c>
      <c r="S20" s="1">
        <f t="shared" si="0"/>
        <v>495.13657212228827</v>
      </c>
      <c r="T20" s="1">
        <f t="shared" si="1"/>
        <v>2181.2244311698801</v>
      </c>
    </row>
    <row r="21" spans="1:20">
      <c r="S21" s="1">
        <f t="shared" si="0"/>
        <v>378.36521739130438</v>
      </c>
      <c r="T21" s="1">
        <f t="shared" si="1"/>
        <v>2186.3227786221391</v>
      </c>
    </row>
    <row r="22" spans="1:20">
      <c r="S22" s="1">
        <f t="shared" si="0"/>
        <v>261.59386266032027</v>
      </c>
      <c r="T22" s="1">
        <f t="shared" si="1"/>
        <v>2181.2244311698801</v>
      </c>
    </row>
    <row r="23" spans="1:20">
      <c r="S23" s="1">
        <f t="shared" si="0"/>
        <v>145.71120844731095</v>
      </c>
      <c r="T23" s="1">
        <f t="shared" si="1"/>
        <v>2165.9681903156807</v>
      </c>
    </row>
    <row r="24" spans="1:20">
      <c r="S24" s="1">
        <f t="shared" si="0"/>
        <v>31.59919172269656</v>
      </c>
      <c r="T24" s="1">
        <f t="shared" si="1"/>
        <v>2140.6701652644119</v>
      </c>
    </row>
    <row r="25" spans="1:20">
      <c r="S25" s="1">
        <f t="shared" si="0"/>
        <v>-79.873726163528318</v>
      </c>
      <c r="T25" s="1">
        <f t="shared" si="1"/>
        <v>2105.5228892620789</v>
      </c>
    </row>
    <row r="26" spans="1:20">
      <c r="S26" s="1">
        <f t="shared" si="0"/>
        <v>-187.85916899706183</v>
      </c>
      <c r="T26" s="1">
        <f t="shared" si="1"/>
        <v>2060.7938543015648</v>
      </c>
    </row>
    <row r="27" spans="1:20">
      <c r="S27" s="1">
        <f t="shared" si="0"/>
        <v>-291.53530235454753</v>
      </c>
      <c r="T27" s="1">
        <f t="shared" si="1"/>
        <v>2006.8234753470488</v>
      </c>
    </row>
    <row r="28" spans="1:20">
      <c r="S28" s="1">
        <f t="shared" si="0"/>
        <v>-390.11308825977426</v>
      </c>
      <c r="T28" s="1">
        <f t="shared" si="1"/>
        <v>1944.022499570581</v>
      </c>
    </row>
    <row r="29" spans="1:20">
      <c r="S29" s="1">
        <f t="shared" si="0"/>
        <v>-482.84229023910905</v>
      </c>
      <c r="T29" s="1">
        <f t="shared" si="1"/>
        <v>1872.8688803180853</v>
      </c>
    </row>
    <row r="30" spans="1:20">
      <c r="S30" s="1">
        <f t="shared" si="0"/>
        <v>-569.01718307406509</v>
      </c>
      <c r="T30" s="1">
        <f t="shared" si="1"/>
        <v>1793.9041395958043</v>
      </c>
    </row>
    <row r="31" spans="1:20">
      <c r="S31" s="1">
        <f t="shared" si="0"/>
        <v>-647.981923796346</v>
      </c>
      <c r="T31" s="1">
        <f t="shared" si="1"/>
        <v>1707.7292467608481</v>
      </c>
    </row>
    <row r="32" spans="1:20">
      <c r="S32" s="1">
        <f t="shared" si="0"/>
        <v>-719.13554304884121</v>
      </c>
      <c r="T32" s="1">
        <f t="shared" si="1"/>
        <v>1615.0000447815141</v>
      </c>
    </row>
    <row r="33" spans="1:20">
      <c r="S33" s="1">
        <f t="shared" si="0"/>
        <v>-781.93651882530969</v>
      </c>
      <c r="T33" s="1">
        <f t="shared" si="1"/>
        <v>1516.4222588762868</v>
      </c>
    </row>
    <row r="34" spans="1:20">
      <c r="E34" s="1">
        <f>AVERAGE(E37:E50)</f>
        <v>1504</v>
      </c>
      <c r="F34" s="1">
        <f>AVERAGE(F37:F50)</f>
        <v>10.09375</v>
      </c>
      <c r="G34" s="1">
        <f>AVERAGE(G37:G43)</f>
        <v>1597.9330635350532</v>
      </c>
      <c r="S34" s="1">
        <f t="shared" si="0"/>
        <v>-835.9068977798255</v>
      </c>
      <c r="T34" s="1">
        <f t="shared" si="1"/>
        <v>1412.7461255188011</v>
      </c>
    </row>
    <row r="35" spans="1:20">
      <c r="S35" s="1">
        <f t="shared" si="0"/>
        <v>-880.63593274033963</v>
      </c>
      <c r="T35" s="1">
        <f t="shared" si="1"/>
        <v>1304.7606826852675</v>
      </c>
    </row>
    <row r="36" spans="1:20">
      <c r="A36" s="4" t="s">
        <v>26</v>
      </c>
      <c r="B36" s="4">
        <f>B37-1000000/480+B39/2-(B40/2-B41-B42)-0.0155*1000000/(B43*(B44+SQRT(B44*B44+4))/(B44+SQRT(B44*B44+8)))</f>
        <v>-201.68170162074418</v>
      </c>
      <c r="E36" s="5" t="s">
        <v>35</v>
      </c>
      <c r="F36" s="5" t="s">
        <v>12</v>
      </c>
      <c r="G36" s="5" t="s">
        <v>13</v>
      </c>
      <c r="H36" s="5"/>
      <c r="I36" s="5" t="s">
        <v>13</v>
      </c>
      <c r="J36" s="5" t="s">
        <v>32</v>
      </c>
      <c r="K36" s="5" t="s">
        <v>35</v>
      </c>
      <c r="S36" s="1">
        <f t="shared" si="0"/>
        <v>-915.78320874267263</v>
      </c>
      <c r="T36" s="1">
        <f t="shared" si="1"/>
        <v>1193.2877647990426</v>
      </c>
    </row>
    <row r="37" spans="1:20">
      <c r="A37" s="4" t="s">
        <v>27</v>
      </c>
      <c r="B37" s="4">
        <v>1883</v>
      </c>
      <c r="E37" s="1">
        <v>1595</v>
      </c>
      <c r="F37" s="1">
        <v>9.6</v>
      </c>
      <c r="G37" s="1">
        <f t="shared" ref="G37:G44" si="2">E37*(F37+SQRT(F37*F37+4))/(F37+SQRT(F37*F37+8))</f>
        <v>1578.5785039297007</v>
      </c>
      <c r="I37" s="1">
        <v>845</v>
      </c>
      <c r="J37" s="1">
        <v>11</v>
      </c>
      <c r="K37" s="1">
        <f>I37/((J37+SQRT(J37*J37+4))/(J37+SQRT(J37*J37+8)))</f>
        <v>851.76129852953136</v>
      </c>
      <c r="S37" s="1">
        <f t="shared" si="0"/>
        <v>-941.08123379394158</v>
      </c>
      <c r="T37" s="1">
        <f t="shared" si="1"/>
        <v>1079.1757480744282</v>
      </c>
    </row>
    <row r="38" spans="1:20">
      <c r="A38" s="4" t="s">
        <v>28</v>
      </c>
      <c r="B38" s="4">
        <v>480</v>
      </c>
      <c r="E38" s="1">
        <v>1628</v>
      </c>
      <c r="F38" s="1">
        <v>10</v>
      </c>
      <c r="G38" s="1">
        <f t="shared" si="2"/>
        <v>1612.4909756659595</v>
      </c>
      <c r="I38" s="1">
        <v>890</v>
      </c>
      <c r="J38" s="1">
        <v>7</v>
      </c>
      <c r="K38" s="1">
        <f t="shared" ref="K38:K51" si="3">I38/((J38+SQRT(J38*J38+4))/(J38+SQRT(J38*J38+8)))</f>
        <v>906.81043407876757</v>
      </c>
      <c r="S38" s="1">
        <f t="shared" si="0"/>
        <v>-956.33747464814098</v>
      </c>
      <c r="T38" s="1">
        <f t="shared" si="1"/>
        <v>963.29309386141938</v>
      </c>
    </row>
    <row r="39" spans="1:20">
      <c r="A39" s="4" t="s">
        <v>34</v>
      </c>
      <c r="B39" s="4">
        <v>14</v>
      </c>
      <c r="E39" s="1">
        <v>1620</v>
      </c>
      <c r="F39" s="6">
        <v>8.9</v>
      </c>
      <c r="G39" s="1">
        <f t="shared" si="2"/>
        <v>1600.7541347480678</v>
      </c>
      <c r="I39" s="1">
        <v>860</v>
      </c>
      <c r="J39" s="1">
        <v>16.600000000000001</v>
      </c>
      <c r="K39" s="1">
        <f t="shared" si="3"/>
        <v>863.07638079457433</v>
      </c>
      <c r="S39" s="1">
        <f t="shared" si="0"/>
        <v>-961.43582210040006</v>
      </c>
      <c r="T39" s="1">
        <f t="shared" si="1"/>
        <v>846.52173913043487</v>
      </c>
    </row>
    <row r="40" spans="1:20">
      <c r="A40" s="4" t="s">
        <v>33</v>
      </c>
      <c r="B40" s="4">
        <v>11.8</v>
      </c>
      <c r="E40" s="1">
        <v>1634</v>
      </c>
      <c r="F40" s="1">
        <v>8.9</v>
      </c>
      <c r="G40" s="1">
        <f t="shared" si="2"/>
        <v>1614.5878124557673</v>
      </c>
      <c r="I40" s="1">
        <v>715</v>
      </c>
      <c r="J40" s="1">
        <v>8.5</v>
      </c>
      <c r="K40" s="1">
        <f t="shared" si="3"/>
        <v>724.38189375987486</v>
      </c>
      <c r="S40" s="1">
        <f t="shared" si="0"/>
        <v>-956.33747464814098</v>
      </c>
      <c r="T40" s="1">
        <f t="shared" si="1"/>
        <v>729.75038439945104</v>
      </c>
    </row>
    <row r="41" spans="1:20">
      <c r="A41" s="4" t="s">
        <v>29</v>
      </c>
      <c r="B41" s="4">
        <v>0.15</v>
      </c>
      <c r="E41" s="1">
        <v>1598</v>
      </c>
      <c r="F41" s="1">
        <v>11.2</v>
      </c>
      <c r="G41" s="1">
        <f t="shared" si="2"/>
        <v>1585.7469790031553</v>
      </c>
      <c r="I41" s="1">
        <v>880</v>
      </c>
      <c r="J41" s="1">
        <v>10</v>
      </c>
      <c r="K41" s="1">
        <f t="shared" si="3"/>
        <v>888.46388700458874</v>
      </c>
      <c r="S41" s="1">
        <f t="shared" si="0"/>
        <v>-941.08123379394158</v>
      </c>
      <c r="T41" s="1">
        <f t="shared" si="1"/>
        <v>613.86773018644112</v>
      </c>
    </row>
    <row r="42" spans="1:20">
      <c r="A42" s="4" t="s">
        <v>30</v>
      </c>
      <c r="B42" s="4">
        <v>7.1</v>
      </c>
      <c r="E42" s="1">
        <v>1616</v>
      </c>
      <c r="F42" s="1">
        <v>9</v>
      </c>
      <c r="G42" s="1">
        <f t="shared" si="2"/>
        <v>1597.2015828845813</v>
      </c>
      <c r="I42" s="1">
        <v>1740</v>
      </c>
      <c r="J42" s="1">
        <v>8.1</v>
      </c>
      <c r="K42" s="1">
        <f t="shared" si="3"/>
        <v>1765.0119079187446</v>
      </c>
      <c r="S42" s="1">
        <f t="shared" si="0"/>
        <v>-915.78320874267308</v>
      </c>
      <c r="T42" s="1">
        <f t="shared" si="1"/>
        <v>499.75571346182767</v>
      </c>
    </row>
    <row r="43" spans="1:20">
      <c r="A43" s="4" t="s">
        <v>31</v>
      </c>
      <c r="B43" s="4">
        <v>1615</v>
      </c>
      <c r="E43" s="1">
        <v>1614</v>
      </c>
      <c r="F43" s="1">
        <v>9.25</v>
      </c>
      <c r="G43" s="1">
        <f t="shared" si="2"/>
        <v>1596.1714560581399</v>
      </c>
      <c r="I43" s="1">
        <v>982</v>
      </c>
      <c r="J43" s="1">
        <v>5.6</v>
      </c>
      <c r="K43" s="1">
        <f t="shared" si="3"/>
        <v>1009.8385210671111</v>
      </c>
      <c r="S43" s="1">
        <f t="shared" si="0"/>
        <v>-880.63593274033985</v>
      </c>
      <c r="T43" s="1">
        <f t="shared" si="1"/>
        <v>388.28279557560217</v>
      </c>
    </row>
    <row r="44" spans="1:20">
      <c r="A44" s="4" t="s">
        <v>32</v>
      </c>
      <c r="B44" s="4">
        <v>9.5500000000000007</v>
      </c>
      <c r="E44" s="1">
        <v>727</v>
      </c>
      <c r="F44" s="1">
        <v>13.9</v>
      </c>
      <c r="G44" s="1">
        <f t="shared" si="2"/>
        <v>723.33189139670969</v>
      </c>
      <c r="I44" s="1">
        <v>778</v>
      </c>
      <c r="J44" s="1">
        <v>15.6</v>
      </c>
      <c r="K44" s="1">
        <f t="shared" si="3"/>
        <v>781.1453676825239</v>
      </c>
      <c r="S44" s="1">
        <f t="shared" si="0"/>
        <v>-835.90689777982573</v>
      </c>
      <c r="T44" s="1">
        <f t="shared" si="1"/>
        <v>280.29735274206871</v>
      </c>
    </row>
    <row r="45" spans="1:20">
      <c r="I45" s="1">
        <v>1735</v>
      </c>
      <c r="J45" s="1">
        <v>19</v>
      </c>
      <c r="K45" s="1">
        <f t="shared" si="3"/>
        <v>1739.7535317024506</v>
      </c>
      <c r="S45" s="1">
        <f t="shared" si="0"/>
        <v>-781.93651882530946</v>
      </c>
      <c r="T45" s="1">
        <f t="shared" si="1"/>
        <v>176.62121938458245</v>
      </c>
    </row>
    <row r="46" spans="1:20">
      <c r="I46" s="1">
        <v>2644</v>
      </c>
      <c r="J46" s="1">
        <v>3.3</v>
      </c>
      <c r="K46" s="1">
        <f t="shared" si="3"/>
        <v>2824.0546211535025</v>
      </c>
      <c r="S46" s="1">
        <f t="shared" si="0"/>
        <v>-719.1355430488419</v>
      </c>
      <c r="T46" s="1">
        <f t="shared" si="1"/>
        <v>78.043433479356167</v>
      </c>
    </row>
    <row r="47" spans="1:20">
      <c r="I47" s="1">
        <v>1581</v>
      </c>
      <c r="J47" s="1">
        <v>2.5</v>
      </c>
      <c r="K47" s="1">
        <f t="shared" si="3"/>
        <v>1739.9870271543989</v>
      </c>
      <c r="S47" s="1">
        <f t="shared" si="0"/>
        <v>-647.98192379634622</v>
      </c>
      <c r="T47" s="1">
        <f t="shared" si="1"/>
        <v>-14.685768499978508</v>
      </c>
    </row>
    <row r="48" spans="1:20">
      <c r="I48" s="1">
        <v>777</v>
      </c>
      <c r="J48" s="1">
        <v>9.5</v>
      </c>
      <c r="K48" s="1">
        <f t="shared" si="3"/>
        <v>785.24681831687246</v>
      </c>
      <c r="S48" s="1">
        <f t="shared" si="0"/>
        <v>-569.01718307406543</v>
      </c>
      <c r="T48" s="1">
        <f t="shared" si="1"/>
        <v>-100.86066133493466</v>
      </c>
    </row>
    <row r="49" spans="5:20">
      <c r="I49" s="1">
        <v>710</v>
      </c>
      <c r="J49" s="1">
        <v>10</v>
      </c>
      <c r="K49" s="1">
        <f t="shared" si="3"/>
        <v>716.82881792415674</v>
      </c>
      <c r="S49" s="1">
        <f t="shared" si="0"/>
        <v>-482.84229023910916</v>
      </c>
      <c r="T49" s="1">
        <f t="shared" si="1"/>
        <v>-179.82540205721557</v>
      </c>
    </row>
    <row r="50" spans="5:20">
      <c r="I50" s="1">
        <v>730</v>
      </c>
      <c r="J50" s="1">
        <v>8</v>
      </c>
      <c r="K50" s="1">
        <f t="shared" si="3"/>
        <v>740.74227012646406</v>
      </c>
      <c r="S50" s="1">
        <f t="shared" si="0"/>
        <v>-390.11308825977505</v>
      </c>
      <c r="T50" s="1">
        <f t="shared" si="1"/>
        <v>-250.97902130971079</v>
      </c>
    </row>
    <row r="51" spans="5:20">
      <c r="E51" s="6"/>
      <c r="I51" s="1">
        <v>746</v>
      </c>
      <c r="J51" s="1">
        <v>17.3</v>
      </c>
      <c r="K51" s="1">
        <f t="shared" si="3"/>
        <v>748.45977227089656</v>
      </c>
      <c r="S51" s="1">
        <f t="shared" si="0"/>
        <v>-291.53530235454843</v>
      </c>
      <c r="T51" s="1">
        <f t="shared" si="1"/>
        <v>-313.77999708617881</v>
      </c>
    </row>
    <row r="52" spans="5:20">
      <c r="S52" s="1">
        <f t="shared" si="0"/>
        <v>-187.85916899706262</v>
      </c>
      <c r="T52" s="1">
        <f t="shared" si="1"/>
        <v>-367.75037604069485</v>
      </c>
    </row>
    <row r="53" spans="5:20">
      <c r="S53" s="1">
        <f t="shared" si="0"/>
        <v>-79.873726163529227</v>
      </c>
      <c r="T53" s="1">
        <f t="shared" si="1"/>
        <v>-412.47941100120897</v>
      </c>
    </row>
    <row r="54" spans="5:20">
      <c r="S54" s="1">
        <f t="shared" si="0"/>
        <v>31.599191722696844</v>
      </c>
      <c r="T54" s="1">
        <f t="shared" si="1"/>
        <v>-447.62668700354243</v>
      </c>
    </row>
    <row r="55" spans="5:20">
      <c r="S55" s="1">
        <f t="shared" si="0"/>
        <v>145.7112084473109</v>
      </c>
      <c r="T55" s="1">
        <f t="shared" si="1"/>
        <v>-472.92471205481115</v>
      </c>
    </row>
    <row r="56" spans="5:20">
      <c r="S56" s="1">
        <f t="shared" si="0"/>
        <v>261.59386266032021</v>
      </c>
      <c r="T56" s="1">
        <f t="shared" si="1"/>
        <v>-488.18095290901056</v>
      </c>
    </row>
    <row r="57" spans="5:20">
      <c r="S57" s="1">
        <f t="shared" si="0"/>
        <v>378.3652173913041</v>
      </c>
      <c r="T57" s="1">
        <f t="shared" si="1"/>
        <v>-493.27930036126963</v>
      </c>
    </row>
    <row r="58" spans="5:20">
      <c r="S58" s="1">
        <f t="shared" si="0"/>
        <v>495.13657212228793</v>
      </c>
      <c r="T58" s="1">
        <f t="shared" si="1"/>
        <v>-488.18095290901056</v>
      </c>
    </row>
    <row r="59" spans="5:20">
      <c r="S59" s="1">
        <f t="shared" si="0"/>
        <v>611.01922633529728</v>
      </c>
      <c r="T59" s="1">
        <f t="shared" si="1"/>
        <v>-472.92471205481138</v>
      </c>
    </row>
    <row r="60" spans="5:20">
      <c r="S60" s="1">
        <f t="shared" si="0"/>
        <v>725.13124305991244</v>
      </c>
      <c r="T60" s="1">
        <f t="shared" si="1"/>
        <v>-447.6266870035422</v>
      </c>
    </row>
    <row r="61" spans="5:20">
      <c r="E61" s="6"/>
      <c r="S61" s="1">
        <f t="shared" si="0"/>
        <v>836.60416094613629</v>
      </c>
      <c r="T61" s="1">
        <f t="shared" si="1"/>
        <v>-412.47941100120943</v>
      </c>
    </row>
    <row r="62" spans="5:20">
      <c r="S62" s="1">
        <f t="shared" si="0"/>
        <v>944.58960377967082</v>
      </c>
      <c r="T62" s="1">
        <f t="shared" si="1"/>
        <v>-367.75037604069507</v>
      </c>
    </row>
    <row r="63" spans="5:20">
      <c r="S63" s="1">
        <f t="shared" si="0"/>
        <v>1048.2657371371565</v>
      </c>
      <c r="T63" s="1">
        <f t="shared" si="1"/>
        <v>-313.77999708617904</v>
      </c>
    </row>
    <row r="64" spans="5:20">
      <c r="S64" s="1">
        <f t="shared" si="0"/>
        <v>1146.8435230423834</v>
      </c>
      <c r="T64" s="1">
        <f t="shared" si="1"/>
        <v>-250.97902130971102</v>
      </c>
    </row>
    <row r="65" spans="19:20">
      <c r="S65" s="1">
        <f t="shared" si="0"/>
        <v>1239.5727250217176</v>
      </c>
      <c r="T65" s="1">
        <f t="shared" si="1"/>
        <v>-179.82540205721602</v>
      </c>
    </row>
    <row r="66" spans="19:20">
      <c r="S66" s="1">
        <f t="shared" si="0"/>
        <v>1325.7476178566735</v>
      </c>
      <c r="T66" s="1">
        <f t="shared" si="1"/>
        <v>-100.860661334935</v>
      </c>
    </row>
    <row r="67" spans="19:20">
      <c r="S67" s="1">
        <f t="shared" ref="S67:S75" si="4">$M$4+COS((ROW()-3)*5*PI()/180)*$B$15</f>
        <v>1404.7123585789545</v>
      </c>
      <c r="T67" s="1">
        <f t="shared" ref="T67:T75" si="5">$N$4+SIN((ROW()-3)*5*PI()/180)*$B$15</f>
        <v>-14.685768499978963</v>
      </c>
    </row>
    <row r="68" spans="19:20">
      <c r="S68" s="1">
        <f t="shared" si="4"/>
        <v>1475.86597783145</v>
      </c>
      <c r="T68" s="1">
        <f t="shared" si="5"/>
        <v>78.043433479355258</v>
      </c>
    </row>
    <row r="69" spans="19:20">
      <c r="S69" s="1">
        <f t="shared" si="4"/>
        <v>1538.666953607918</v>
      </c>
      <c r="T69" s="1">
        <f t="shared" si="5"/>
        <v>176.62121938458199</v>
      </c>
    </row>
    <row r="70" spans="19:20">
      <c r="S70" s="1">
        <f t="shared" si="4"/>
        <v>1592.637332562434</v>
      </c>
      <c r="T70" s="1">
        <f t="shared" si="5"/>
        <v>280.29735274206769</v>
      </c>
    </row>
    <row r="71" spans="19:20">
      <c r="S71" s="1">
        <f t="shared" si="4"/>
        <v>1637.3663675229486</v>
      </c>
      <c r="T71" s="1">
        <f t="shared" si="5"/>
        <v>388.28279557560222</v>
      </c>
    </row>
    <row r="72" spans="19:20">
      <c r="S72" s="1">
        <f t="shared" si="4"/>
        <v>1672.5136435252816</v>
      </c>
      <c r="T72" s="1">
        <f t="shared" si="5"/>
        <v>499.75571346182721</v>
      </c>
    </row>
    <row r="73" spans="19:20">
      <c r="S73" s="1">
        <f t="shared" si="4"/>
        <v>1697.8116685765503</v>
      </c>
      <c r="T73" s="1">
        <f t="shared" si="5"/>
        <v>613.8677301864401</v>
      </c>
    </row>
    <row r="74" spans="19:20">
      <c r="S74" s="1">
        <f t="shared" si="4"/>
        <v>1713.0679094307498</v>
      </c>
      <c r="T74" s="1">
        <f t="shared" si="5"/>
        <v>729.75038439945058</v>
      </c>
    </row>
    <row r="75" spans="19:20">
      <c r="S75" s="1">
        <f t="shared" si="4"/>
        <v>1718.1662568830088</v>
      </c>
      <c r="T75" s="1">
        <f t="shared" si="5"/>
        <v>846.52173913043441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MethylPropane H or H2 loss</vt:lpstr>
      <vt:lpstr>C2Cl Hloss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ZhaoLong</dc:creator>
  <cp:lastModifiedBy>xbdatapc@outlook.com</cp:lastModifiedBy>
  <cp:lastPrinted>2022-12-08T00:04:05Z</cp:lastPrinted>
  <dcterms:created xsi:type="dcterms:W3CDTF">2016-10-19T20:03:07Z</dcterms:created>
  <dcterms:modified xsi:type="dcterms:W3CDTF">2023-09-24T03:07:34Z</dcterms:modified>
</cp:coreProperties>
</file>