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C3H3 + C5H8\DATA_isoprene\"/>
    </mc:Choice>
  </mc:AlternateContent>
  <bookViews>
    <workbookView xWindow="0" yWindow="0" windowWidth="28800" windowHeight="12030"/>
  </bookViews>
  <sheets>
    <sheet name="MethylNap+H" sheetId="1" r:id="rId1"/>
    <sheet name="NoTNap+H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9" i="1"/>
  <c r="D28" i="1"/>
  <c r="B13" i="1"/>
  <c r="E31" i="1" l="1"/>
  <c r="D31" i="1"/>
  <c r="E26" i="1"/>
  <c r="D26" i="1"/>
  <c r="F6" i="1" l="1"/>
  <c r="B36" i="1" l="1"/>
  <c r="G37" i="1"/>
  <c r="E34" i="1" l="1"/>
  <c r="F7" i="1"/>
  <c r="G52" i="1" l="1"/>
  <c r="B18" i="1" l="1"/>
  <c r="G43" i="1" l="1"/>
  <c r="G44" i="1"/>
  <c r="G45" i="1"/>
  <c r="G46" i="1"/>
  <c r="G47" i="1"/>
  <c r="G48" i="1"/>
  <c r="G49" i="1"/>
  <c r="B14" i="1" l="1"/>
  <c r="D18" i="1"/>
  <c r="F34" i="1" l="1"/>
  <c r="G34" i="1"/>
  <c r="K49" i="1" l="1"/>
  <c r="G41" i="1" l="1"/>
  <c r="G42" i="1"/>
  <c r="G40" i="1" l="1"/>
  <c r="G39" i="1"/>
  <c r="K48" i="2" l="1"/>
  <c r="K47" i="2"/>
  <c r="K46" i="2"/>
  <c r="K45" i="2"/>
  <c r="K44" i="2"/>
  <c r="K43" i="2"/>
  <c r="K42" i="2"/>
  <c r="K41" i="2"/>
  <c r="K40" i="2"/>
  <c r="K39" i="2"/>
  <c r="K38" i="2"/>
  <c r="G38" i="2"/>
  <c r="K37" i="2"/>
  <c r="G37" i="2"/>
  <c r="B36" i="2"/>
  <c r="D18" i="2"/>
  <c r="B18" i="2"/>
  <c r="B16" i="2"/>
  <c r="B13" i="2"/>
  <c r="B14" i="2" s="1"/>
  <c r="B15" i="2" s="1"/>
  <c r="K4" i="2"/>
  <c r="U4" i="2" s="1"/>
  <c r="J4" i="2"/>
  <c r="V3" i="2" s="1"/>
  <c r="K37" i="1"/>
  <c r="B15" i="1" l="1"/>
  <c r="D20" i="2"/>
  <c r="Q4" i="2" s="1"/>
  <c r="R4" i="2" s="1"/>
  <c r="D19" i="2"/>
  <c r="O4" i="2" s="1"/>
  <c r="P4" i="2" s="1"/>
  <c r="B20" i="2"/>
  <c r="B19" i="2"/>
  <c r="M4" i="2"/>
  <c r="S3" i="2" s="1"/>
  <c r="K48" i="1"/>
  <c r="S75" i="2" l="1"/>
  <c r="S73" i="2"/>
  <c r="S71" i="2"/>
  <c r="S69" i="2"/>
  <c r="S67" i="2"/>
  <c r="S65" i="2"/>
  <c r="S63" i="2"/>
  <c r="S61" i="2"/>
  <c r="S59" i="2"/>
  <c r="S57" i="2"/>
  <c r="S55" i="2"/>
  <c r="S53" i="2"/>
  <c r="S51" i="2"/>
  <c r="S49" i="2"/>
  <c r="S46" i="2"/>
  <c r="S42" i="2"/>
  <c r="S38" i="2"/>
  <c r="S37" i="2"/>
  <c r="S36" i="2"/>
  <c r="S13" i="2"/>
  <c r="S4" i="2"/>
  <c r="S47" i="2"/>
  <c r="S43" i="2"/>
  <c r="S39" i="2"/>
  <c r="S34" i="2"/>
  <c r="S32" i="2"/>
  <c r="S30" i="2"/>
  <c r="S28" i="2"/>
  <c r="S26" i="2"/>
  <c r="S24" i="2"/>
  <c r="S22" i="2"/>
  <c r="S20" i="2"/>
  <c r="S19" i="2"/>
  <c r="S18" i="2"/>
  <c r="S17" i="2"/>
  <c r="S14" i="2"/>
  <c r="S11" i="2"/>
  <c r="S9" i="2"/>
  <c r="S7" i="2"/>
  <c r="S5" i="2"/>
  <c r="N4" i="2"/>
  <c r="S16" i="2"/>
  <c r="S12" i="2"/>
  <c r="S10" i="2"/>
  <c r="S8" i="2"/>
  <c r="S6" i="2"/>
  <c r="S74" i="2"/>
  <c r="S72" i="2"/>
  <c r="S70" i="2"/>
  <c r="S68" i="2"/>
  <c r="S66" i="2"/>
  <c r="S64" i="2"/>
  <c r="S62" i="2"/>
  <c r="S60" i="2"/>
  <c r="S58" i="2"/>
  <c r="S56" i="2"/>
  <c r="S54" i="2"/>
  <c r="S52" i="2"/>
  <c r="S50" i="2"/>
  <c r="S48" i="2"/>
  <c r="S44" i="2"/>
  <c r="S40" i="2"/>
  <c r="S15" i="2"/>
  <c r="S45" i="2"/>
  <c r="S41" i="2"/>
  <c r="S35" i="2"/>
  <c r="S33" i="2"/>
  <c r="S31" i="2"/>
  <c r="S29" i="2"/>
  <c r="S27" i="2"/>
  <c r="S25" i="2"/>
  <c r="S23" i="2"/>
  <c r="S21" i="2"/>
  <c r="K47" i="1"/>
  <c r="K46" i="1"/>
  <c r="K45" i="1"/>
  <c r="K44" i="1"/>
  <c r="K43" i="1"/>
  <c r="T47" i="2" l="1"/>
  <c r="T43" i="2"/>
  <c r="T39" i="2"/>
  <c r="T34" i="2"/>
  <c r="T32" i="2"/>
  <c r="T30" i="2"/>
  <c r="T28" i="2"/>
  <c r="T26" i="2"/>
  <c r="T24" i="2"/>
  <c r="T22" i="2"/>
  <c r="T20" i="2"/>
  <c r="T19" i="2"/>
  <c r="T18" i="2"/>
  <c r="T17" i="2"/>
  <c r="T14" i="2"/>
  <c r="T11" i="2"/>
  <c r="T9" i="2"/>
  <c r="T7" i="2"/>
  <c r="T5" i="2"/>
  <c r="T72" i="2"/>
  <c r="T70" i="2"/>
  <c r="T68" i="2"/>
  <c r="T66" i="2"/>
  <c r="T64" i="2"/>
  <c r="T62" i="2"/>
  <c r="T60" i="2"/>
  <c r="T58" i="2"/>
  <c r="T56" i="2"/>
  <c r="T54" i="2"/>
  <c r="T52" i="2"/>
  <c r="T50" i="2"/>
  <c r="T48" i="2"/>
  <c r="T44" i="2"/>
  <c r="T40" i="2"/>
  <c r="T15" i="2"/>
  <c r="T13" i="2"/>
  <c r="T74" i="2"/>
  <c r="T45" i="2"/>
  <c r="T41" i="2"/>
  <c r="T35" i="2"/>
  <c r="T33" i="2"/>
  <c r="T31" i="2"/>
  <c r="T29" i="2"/>
  <c r="T27" i="2"/>
  <c r="T25" i="2"/>
  <c r="T23" i="2"/>
  <c r="T21" i="2"/>
  <c r="T16" i="2"/>
  <c r="T12" i="2"/>
  <c r="T10" i="2"/>
  <c r="T8" i="2"/>
  <c r="T6" i="2"/>
  <c r="T3" i="2"/>
  <c r="T75" i="2"/>
  <c r="T73" i="2"/>
  <c r="T71" i="2"/>
  <c r="T69" i="2"/>
  <c r="T67" i="2"/>
  <c r="T65" i="2"/>
  <c r="T63" i="2"/>
  <c r="T61" i="2"/>
  <c r="T59" i="2"/>
  <c r="T57" i="2"/>
  <c r="T55" i="2"/>
  <c r="T53" i="2"/>
  <c r="T51" i="2"/>
  <c r="T49" i="2"/>
  <c r="T46" i="2"/>
  <c r="T42" i="2"/>
  <c r="T38" i="2"/>
  <c r="T37" i="2"/>
  <c r="T36" i="2"/>
  <c r="T4" i="2"/>
  <c r="K42" i="1"/>
  <c r="K41" i="1"/>
  <c r="K40" i="1" l="1"/>
  <c r="K39" i="1" l="1"/>
  <c r="K38" i="1"/>
  <c r="G38" i="1" l="1"/>
  <c r="K4" i="1" l="1"/>
  <c r="U4" i="1" s="1"/>
  <c r="B16" i="1" l="1"/>
  <c r="J4" i="1"/>
  <c r="B19" i="1" l="1"/>
  <c r="D19" i="1"/>
  <c r="O4" i="1" s="1"/>
  <c r="M4" i="1"/>
  <c r="B20" i="1"/>
  <c r="D20" i="1"/>
  <c r="Q4" i="1" s="1"/>
  <c r="R4" i="1" s="1"/>
  <c r="V3" i="1"/>
  <c r="P4" i="1" l="1"/>
  <c r="S12" i="1"/>
  <c r="S20" i="1"/>
  <c r="S28" i="1"/>
  <c r="S36" i="1"/>
  <c r="S44" i="1"/>
  <c r="S52" i="1"/>
  <c r="S60" i="1"/>
  <c r="S68" i="1"/>
  <c r="S9" i="1"/>
  <c r="S13" i="1"/>
  <c r="S21" i="1"/>
  <c r="S29" i="1"/>
  <c r="S37" i="1"/>
  <c r="S45" i="1"/>
  <c r="S53" i="1"/>
  <c r="S61" i="1"/>
  <c r="S69" i="1"/>
  <c r="S10" i="1"/>
  <c r="N4" i="1"/>
  <c r="S16" i="1"/>
  <c r="S26" i="1"/>
  <c r="S38" i="1"/>
  <c r="S48" i="1"/>
  <c r="S58" i="1"/>
  <c r="S70" i="1"/>
  <c r="S5" i="1"/>
  <c r="S19" i="1"/>
  <c r="S31" i="1"/>
  <c r="S41" i="1"/>
  <c r="S51" i="1"/>
  <c r="S63" i="1"/>
  <c r="S73" i="1"/>
  <c r="S8" i="1"/>
  <c r="S18" i="1"/>
  <c r="S30" i="1"/>
  <c r="S40" i="1"/>
  <c r="S50" i="1"/>
  <c r="S62" i="1"/>
  <c r="S72" i="1"/>
  <c r="S7" i="1"/>
  <c r="S23" i="1"/>
  <c r="S33" i="1"/>
  <c r="S43" i="1"/>
  <c r="S55" i="1"/>
  <c r="S65" i="1"/>
  <c r="S75" i="1"/>
  <c r="S22" i="1"/>
  <c r="S42" i="1"/>
  <c r="S64" i="1"/>
  <c r="S15" i="1"/>
  <c r="S35" i="1"/>
  <c r="S57" i="1"/>
  <c r="S4" i="1"/>
  <c r="S24" i="1"/>
  <c r="S46" i="1"/>
  <c r="S66" i="1"/>
  <c r="S17" i="1"/>
  <c r="S39" i="1"/>
  <c r="S59" i="1"/>
  <c r="S6" i="1"/>
  <c r="S3" i="1"/>
  <c r="S32" i="1"/>
  <c r="S54" i="1"/>
  <c r="S74" i="1"/>
  <c r="S25" i="1"/>
  <c r="S47" i="1"/>
  <c r="S67" i="1"/>
  <c r="S14" i="1"/>
  <c r="S34" i="1"/>
  <c r="S56" i="1"/>
  <c r="S11" i="1"/>
  <c r="S27" i="1"/>
  <c r="S49" i="1"/>
  <c r="S71" i="1"/>
  <c r="T33" i="1" l="1"/>
  <c r="T51" i="1"/>
  <c r="T69" i="1"/>
  <c r="T12" i="1"/>
  <c r="T20" i="1"/>
  <c r="T28" i="1"/>
  <c r="T36" i="1"/>
  <c r="T44" i="1"/>
  <c r="T52" i="1"/>
  <c r="T60" i="1"/>
  <c r="T68" i="1"/>
  <c r="T9" i="1"/>
  <c r="T13" i="1"/>
  <c r="T25" i="1"/>
  <c r="T39" i="1"/>
  <c r="T53" i="1"/>
  <c r="T67" i="1"/>
  <c r="T6" i="1"/>
  <c r="T37" i="1"/>
  <c r="T61" i="1"/>
  <c r="T8" i="1"/>
  <c r="T22" i="1"/>
  <c r="T32" i="1"/>
  <c r="T42" i="1"/>
  <c r="T54" i="1"/>
  <c r="T64" i="1"/>
  <c r="T74" i="1"/>
  <c r="T17" i="1"/>
  <c r="T31" i="1"/>
  <c r="T49" i="1"/>
  <c r="T71" i="1"/>
  <c r="T15" i="1"/>
  <c r="T41" i="1"/>
  <c r="T65" i="1"/>
  <c r="T14" i="1"/>
  <c r="T24" i="1"/>
  <c r="T34" i="1"/>
  <c r="T46" i="1"/>
  <c r="T56" i="1"/>
  <c r="T66" i="1"/>
  <c r="T11" i="1"/>
  <c r="T19" i="1"/>
  <c r="T35" i="1"/>
  <c r="T57" i="1"/>
  <c r="T73" i="1"/>
  <c r="T47" i="1"/>
  <c r="T16" i="1"/>
  <c r="T38" i="1"/>
  <c r="T58" i="1"/>
  <c r="T5" i="1"/>
  <c r="T43" i="1"/>
  <c r="T10" i="1"/>
  <c r="T55" i="1"/>
  <c r="T18" i="1"/>
  <c r="T40" i="1"/>
  <c r="T62" i="1"/>
  <c r="T7" i="1"/>
  <c r="T45" i="1"/>
  <c r="T3" i="1"/>
  <c r="T23" i="1"/>
  <c r="T75" i="1"/>
  <c r="T26" i="1"/>
  <c r="T48" i="1"/>
  <c r="T70" i="1"/>
  <c r="T21" i="1"/>
  <c r="T59" i="1"/>
  <c r="T29" i="1"/>
  <c r="T4" i="1"/>
  <c r="T30" i="1"/>
  <c r="T50" i="1"/>
  <c r="T72" i="1"/>
  <c r="T27" i="1"/>
  <c r="T63" i="1"/>
</calcChain>
</file>

<file path=xl/sharedStrings.xml><?xml version="1.0" encoding="utf-8"?>
<sst xmlns="http://schemas.openxmlformats.org/spreadsheetml/2006/main" count="109" uniqueCount="45">
  <si>
    <t>Reaction:</t>
  </si>
  <si>
    <t>1 + 2 -&gt; 3 + 4</t>
  </si>
  <si>
    <t>Species</t>
  </si>
  <si>
    <t>Formula</t>
  </si>
  <si>
    <t>CM</t>
  </si>
  <si>
    <t>X</t>
  </si>
  <si>
    <t>Ec</t>
  </si>
  <si>
    <t>Circle Radius</t>
  </si>
  <si>
    <t>Er</t>
  </si>
  <si>
    <t>m/s</t>
  </si>
  <si>
    <t>Mass(g/mol)</t>
  </si>
  <si>
    <t>CM speed</t>
  </si>
  <si>
    <t>S</t>
  </si>
  <si>
    <t>Vp</t>
  </si>
  <si>
    <t>Limit+</t>
  </si>
  <si>
    <t>Limit-</t>
  </si>
  <si>
    <t>Source 1</t>
  </si>
  <si>
    <t>Source 2</t>
  </si>
  <si>
    <t>Circle</t>
  </si>
  <si>
    <t>=</t>
  </si>
  <si>
    <t>Edge</t>
  </si>
  <si>
    <t>J</t>
  </si>
  <si>
    <t>Velocity(Vt, m/s)</t>
  </si>
  <si>
    <t>CM offset</t>
  </si>
  <si>
    <t>J/mol</t>
  </si>
  <si>
    <t>Hf(J/mol)</t>
  </si>
  <si>
    <t>offset</t>
  </si>
  <si>
    <t>PVI delay</t>
  </si>
  <si>
    <t>chopper wheel</t>
  </si>
  <si>
    <t>mcs dead</t>
  </si>
  <si>
    <t>photodiode delay</t>
  </si>
  <si>
    <t xml:space="preserve"> Vt1</t>
  </si>
  <si>
    <t>s</t>
  </si>
  <si>
    <t xml:space="preserve">slit width </t>
  </si>
  <si>
    <t xml:space="preserve">CW offset </t>
  </si>
  <si>
    <t>Vt</t>
  </si>
  <si>
    <t>C3H3</t>
  </si>
  <si>
    <t>C5H8</t>
  </si>
  <si>
    <t>C8H10</t>
  </si>
  <si>
    <t>H</t>
  </si>
  <si>
    <t>1-propenyl</t>
  </si>
  <si>
    <t>isoprene</t>
  </si>
  <si>
    <t>xylene</t>
  </si>
  <si>
    <t>kJ/mol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</si>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</sst>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8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0" fontId="2" fillId="0" borderId="3" xfId="0" applyFont="1" applyBorder="1"/>
    <xf numFmtId="0" fontId="2" fillId="0" borderId="1" xfId="0" applyFont="1" applyBorder="1"/>
    <xf numFmtId="0" fontId="2" fillId="0" borderId="2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2" fontId="2" fillId="0" borderId="0" xfId="0" applyNumberFormat="1" applyFont="1"/>
    <xf numFmtId="0" fontId="2" fillId="0" borderId="11" xfId="0" applyFont="1" applyFill="1" applyBorder="1"/>
    <xf numFmtId="0" fontId="2" fillId="0" borderId="0" xfId="0" applyFont="1" applyAlignment="1">
      <alignment horizontal="center"/>
    </xf>
    <xf numFmtId="0" fontId="4" fillId="0" borderId="0" xfId="0" applyFont="1"/>
    <xf numFmtId="0" fontId="4" fillId="0" borderId="3" xfId="0" applyFont="1" applyBorder="1"/>
    <xf numFmtId="2" fontId="4" fillId="0" borderId="0" xfId="0" applyNumberFormat="1" applyFont="1"/>
    <xf numFmtId="0" fontId="4" fillId="0" borderId="0" xfId="0" applyFont="1" applyAlignment="1">
      <alignment horizontal="center"/>
    </xf>
    <xf numFmtId="0" fontId="5" fillId="2" borderId="0" xfId="0" applyFont="1" applyFill="1"/>
    <xf numFmtId="0" fontId="4" fillId="3" borderId="0" xfId="0" applyFont="1" applyFill="1"/>
    <xf numFmtId="0" fontId="1" fillId="0" borderId="0" xfId="0" applyFont="1"/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4" fillId="3" borderId="21" xfId="0" applyFont="1" applyFill="1" applyBorder="1"/>
    <xf numFmtId="0" fontId="4" fillId="3" borderId="22" xfId="0" applyFont="1" applyFill="1" applyBorder="1"/>
    <xf numFmtId="0" fontId="4" fillId="3" borderId="23" xfId="0" applyFont="1" applyFill="1" applyBorder="1"/>
    <xf numFmtId="0" fontId="4" fillId="3" borderId="24" xfId="0" applyFont="1" applyFill="1" applyBorder="1"/>
    <xf numFmtId="0" fontId="4" fillId="3" borderId="25" xfId="0" applyFont="1" applyFill="1" applyBorder="1"/>
    <xf numFmtId="0" fontId="4" fillId="3" borderId="26" xfId="0" applyFont="1" applyFill="1" applyBorder="1"/>
    <xf numFmtId="0" fontId="4" fillId="0" borderId="26" xfId="0" applyFont="1" applyFill="1" applyBorder="1"/>
    <xf numFmtId="0" fontId="4" fillId="3" borderId="27" xfId="0" applyFont="1" applyFill="1" applyBorder="1"/>
    <xf numFmtId="0" fontId="4" fillId="3" borderId="28" xfId="0" applyFont="1" applyFill="1" applyBorder="1"/>
    <xf numFmtId="0" fontId="4" fillId="3" borderId="29" xfId="0" applyFont="1" applyFill="1" applyBorder="1"/>
    <xf numFmtId="0" fontId="2" fillId="4" borderId="6" xfId="0" applyFont="1" applyFill="1" applyBorder="1"/>
    <xf numFmtId="0" fontId="2" fillId="4" borderId="7" xfId="0" applyFont="1" applyFill="1" applyBorder="1"/>
    <xf numFmtId="0" fontId="2" fillId="4" borderId="9" xfId="0" applyFont="1" applyFill="1" applyBorder="1"/>
    <xf numFmtId="0" fontId="2" fillId="4" borderId="10" xfId="0" applyFont="1" applyFill="1" applyBorder="1"/>
    <xf numFmtId="0" fontId="2" fillId="4" borderId="15" xfId="0" applyFont="1" applyFill="1" applyBorder="1"/>
    <xf numFmtId="0" fontId="2" fillId="4" borderId="16" xfId="0" applyFont="1" applyFill="1" applyBorder="1"/>
    <xf numFmtId="0" fontId="2" fillId="4" borderId="12" xfId="0" applyFont="1" applyFill="1" applyBorder="1"/>
    <xf numFmtId="2" fontId="2" fillId="4" borderId="13" xfId="0" applyNumberFormat="1" applyFont="1" applyFill="1" applyBorder="1"/>
    <xf numFmtId="0" fontId="2" fillId="4" borderId="13" xfId="0" applyFont="1" applyFill="1" applyBorder="1"/>
    <xf numFmtId="0" fontId="2" fillId="4" borderId="8" xfId="0" applyFont="1" applyFill="1" applyBorder="1"/>
    <xf numFmtId="0" fontId="2" fillId="4" borderId="11" xfId="0" applyFont="1" applyFill="1" applyBorder="1"/>
    <xf numFmtId="0" fontId="2" fillId="4" borderId="14" xfId="0" applyFont="1" applyFill="1" applyBorder="1"/>
    <xf numFmtId="0" fontId="2" fillId="4" borderId="0" xfId="0" applyFont="1" applyFill="1"/>
    <xf numFmtId="0" fontId="5" fillId="0" borderId="0" xfId="0" applyFont="1"/>
    <xf numFmtId="2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64" fontId="4" fillId="0" borderId="0" xfId="0" applyNumberFormat="1" applyFont="1"/>
    <xf numFmtId="0" fontId="4" fillId="0" borderId="21" xfId="0" applyFont="1" applyBorder="1"/>
    <xf numFmtId="0" fontId="5" fillId="5" borderId="21" xfId="0" applyFont="1" applyFill="1" applyBorder="1" applyAlignment="1">
      <alignment horizontal="center"/>
    </xf>
    <xf numFmtId="164" fontId="4" fillId="0" borderId="21" xfId="0" applyNumberFormat="1" applyFont="1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4" fillId="3" borderId="28" xfId="0" applyNumberFormat="1" applyFont="1" applyFill="1" applyBorder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119400329063803"/>
          <c:y val="9.5883170979540855E-2"/>
          <c:w val="0.42844104489220564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'MethylNap+H'!$S$2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'MethylNap+H'!$S$3:$S$75</c:f>
              <c:numCache>
                <c:formatCode>General</c:formatCode>
                <c:ptCount val="73"/>
                <c:pt idx="0">
                  <c:v>725.4893880137156</c:v>
                </c:pt>
                <c:pt idx="1">
                  <c:v>724.4698742108842</c:v>
                </c:pt>
                <c:pt idx="2">
                  <c:v>721.41909191802927</c:v>
                </c:pt>
                <c:pt idx="3">
                  <c:v>716.36025943051186</c:v>
                </c:pt>
                <c:pt idx="4">
                  <c:v>709.33187751816877</c:v>
                </c:pt>
                <c:pt idx="5">
                  <c:v>700.38743641120573</c:v>
                </c:pt>
                <c:pt idx="6">
                  <c:v>689.59500870724798</c:v>
                </c:pt>
                <c:pt idx="7">
                  <c:v>677.03673129776882</c:v>
                </c:pt>
                <c:pt idx="8">
                  <c:v>662.80818025674944</c:v>
                </c:pt>
                <c:pt idx="9">
                  <c:v>647.01764344904609</c:v>
                </c:pt>
                <c:pt idx="10">
                  <c:v>629.78529639435226</c:v>
                </c:pt>
                <c:pt idx="11">
                  <c:v>611.24228765892963</c:v>
                </c:pt>
                <c:pt idx="12">
                  <c:v>591.52974073582982</c:v>
                </c:pt>
                <c:pt idx="13">
                  <c:v>570.79768000989861</c:v>
                </c:pt>
                <c:pt idx="14">
                  <c:v>549.20388898162105</c:v>
                </c:pt>
                <c:pt idx="15">
                  <c:v>526.9127094394097</c:v>
                </c:pt>
                <c:pt idx="16">
                  <c:v>504.0937907193632</c:v>
                </c:pt>
                <c:pt idx="17">
                  <c:v>480.92079857138083</c:v>
                </c:pt>
                <c:pt idx="18">
                  <c:v>457.57009345794393</c:v>
                </c:pt>
                <c:pt idx="19">
                  <c:v>434.21938834450702</c:v>
                </c:pt>
                <c:pt idx="20">
                  <c:v>411.04639619652465</c:v>
                </c:pt>
                <c:pt idx="21">
                  <c:v>388.2274774764781</c:v>
                </c:pt>
                <c:pt idx="22">
                  <c:v>365.93629793426686</c:v>
                </c:pt>
                <c:pt idx="23">
                  <c:v>344.3425069059893</c:v>
                </c:pt>
                <c:pt idx="24">
                  <c:v>323.61044618005815</c:v>
                </c:pt>
                <c:pt idx="25">
                  <c:v>303.89789925695828</c:v>
                </c:pt>
                <c:pt idx="26">
                  <c:v>285.35489052153559</c:v>
                </c:pt>
                <c:pt idx="27">
                  <c:v>268.12254346684176</c:v>
                </c:pt>
                <c:pt idx="28">
                  <c:v>252.33200665913844</c:v>
                </c:pt>
                <c:pt idx="29">
                  <c:v>238.10345561811911</c:v>
                </c:pt>
                <c:pt idx="30">
                  <c:v>225.54517820863984</c:v>
                </c:pt>
                <c:pt idx="31">
                  <c:v>214.75275050468218</c:v>
                </c:pt>
                <c:pt idx="32">
                  <c:v>205.80830939771917</c:v>
                </c:pt>
                <c:pt idx="33">
                  <c:v>198.77992748537599</c:v>
                </c:pt>
                <c:pt idx="34">
                  <c:v>193.72109499785859</c:v>
                </c:pt>
                <c:pt idx="35">
                  <c:v>190.6703127050036</c:v>
                </c:pt>
                <c:pt idx="36">
                  <c:v>189.65079890217231</c:v>
                </c:pt>
                <c:pt idx="37">
                  <c:v>190.6703127050036</c:v>
                </c:pt>
                <c:pt idx="38">
                  <c:v>193.72109499785859</c:v>
                </c:pt>
                <c:pt idx="39">
                  <c:v>198.77992748537594</c:v>
                </c:pt>
                <c:pt idx="40">
                  <c:v>205.80830939771914</c:v>
                </c:pt>
                <c:pt idx="41">
                  <c:v>214.75275050468215</c:v>
                </c:pt>
                <c:pt idx="42">
                  <c:v>225.54517820863987</c:v>
                </c:pt>
                <c:pt idx="43">
                  <c:v>238.103455618119</c:v>
                </c:pt>
                <c:pt idx="44">
                  <c:v>252.33200665913841</c:v>
                </c:pt>
                <c:pt idx="45">
                  <c:v>268.12254346684171</c:v>
                </c:pt>
                <c:pt idx="46">
                  <c:v>285.35489052153559</c:v>
                </c:pt>
                <c:pt idx="47">
                  <c:v>303.89789925695811</c:v>
                </c:pt>
                <c:pt idx="48">
                  <c:v>323.61044618005803</c:v>
                </c:pt>
                <c:pt idx="49">
                  <c:v>344.34250690598913</c:v>
                </c:pt>
                <c:pt idx="50">
                  <c:v>365.93629793426669</c:v>
                </c:pt>
                <c:pt idx="51">
                  <c:v>388.22747747647816</c:v>
                </c:pt>
                <c:pt idx="52">
                  <c:v>411.04639619652465</c:v>
                </c:pt>
                <c:pt idx="53">
                  <c:v>434.21938834450702</c:v>
                </c:pt>
                <c:pt idx="54">
                  <c:v>457.57009345794387</c:v>
                </c:pt>
                <c:pt idx="55">
                  <c:v>480.92079857138071</c:v>
                </c:pt>
                <c:pt idx="56">
                  <c:v>504.09379071936308</c:v>
                </c:pt>
                <c:pt idx="57">
                  <c:v>526.91270943940981</c:v>
                </c:pt>
                <c:pt idx="58">
                  <c:v>549.20388898162082</c:v>
                </c:pt>
                <c:pt idx="59">
                  <c:v>570.79768000989861</c:v>
                </c:pt>
                <c:pt idx="60">
                  <c:v>591.52974073582982</c:v>
                </c:pt>
                <c:pt idx="61">
                  <c:v>611.24228765892963</c:v>
                </c:pt>
                <c:pt idx="62">
                  <c:v>629.78529639435214</c:v>
                </c:pt>
                <c:pt idx="63">
                  <c:v>647.01764344904609</c:v>
                </c:pt>
                <c:pt idx="64">
                  <c:v>662.80818025674944</c:v>
                </c:pt>
                <c:pt idx="65">
                  <c:v>677.03673129776871</c:v>
                </c:pt>
                <c:pt idx="66">
                  <c:v>689.59500870724787</c:v>
                </c:pt>
                <c:pt idx="67">
                  <c:v>700.38743641120561</c:v>
                </c:pt>
                <c:pt idx="68">
                  <c:v>709.33187751816877</c:v>
                </c:pt>
                <c:pt idx="69">
                  <c:v>716.36025943051186</c:v>
                </c:pt>
                <c:pt idx="70">
                  <c:v>721.41909191802915</c:v>
                </c:pt>
                <c:pt idx="71">
                  <c:v>724.4698742108842</c:v>
                </c:pt>
                <c:pt idx="72">
                  <c:v>725.4893880137156</c:v>
                </c:pt>
              </c:numCache>
            </c:numRef>
          </c:xVal>
          <c:yVal>
            <c:numRef>
              <c:f>'MethylNap+H'!$T$3:$T$75</c:f>
              <c:numCache>
                <c:formatCode>General</c:formatCode>
                <c:ptCount val="73"/>
                <c:pt idx="0">
                  <c:v>609.42056074766356</c:v>
                </c:pt>
                <c:pt idx="1">
                  <c:v>632.77126586110046</c:v>
                </c:pt>
                <c:pt idx="2">
                  <c:v>655.94425800908289</c:v>
                </c:pt>
                <c:pt idx="3">
                  <c:v>678.76317672912933</c:v>
                </c:pt>
                <c:pt idx="4">
                  <c:v>701.05435627134057</c:v>
                </c:pt>
                <c:pt idx="5">
                  <c:v>722.64814729961824</c:v>
                </c:pt>
                <c:pt idx="6">
                  <c:v>743.38020802554934</c:v>
                </c:pt>
                <c:pt idx="7">
                  <c:v>763.09275494864926</c:v>
                </c:pt>
                <c:pt idx="8">
                  <c:v>781.63576368407189</c:v>
                </c:pt>
                <c:pt idx="9">
                  <c:v>798.86811073876572</c:v>
                </c:pt>
                <c:pt idx="10">
                  <c:v>814.65864754646907</c:v>
                </c:pt>
                <c:pt idx="11">
                  <c:v>828.88719858748846</c:v>
                </c:pt>
                <c:pt idx="12">
                  <c:v>841.44547599696762</c:v>
                </c:pt>
                <c:pt idx="13">
                  <c:v>852.23790370092524</c:v>
                </c:pt>
                <c:pt idx="14">
                  <c:v>861.18234480788828</c:v>
                </c:pt>
                <c:pt idx="15">
                  <c:v>868.21072672023161</c:v>
                </c:pt>
                <c:pt idx="16">
                  <c:v>873.2695592077489</c:v>
                </c:pt>
                <c:pt idx="17">
                  <c:v>876.32034150060394</c:v>
                </c:pt>
                <c:pt idx="18">
                  <c:v>877.33985530343512</c:v>
                </c:pt>
                <c:pt idx="19">
                  <c:v>876.32034150060394</c:v>
                </c:pt>
                <c:pt idx="20">
                  <c:v>873.2695592077489</c:v>
                </c:pt>
                <c:pt idx="21">
                  <c:v>868.21072672023161</c:v>
                </c:pt>
                <c:pt idx="22">
                  <c:v>861.18234480788828</c:v>
                </c:pt>
                <c:pt idx="23">
                  <c:v>852.23790370092536</c:v>
                </c:pt>
                <c:pt idx="24">
                  <c:v>841.44547599696762</c:v>
                </c:pt>
                <c:pt idx="25">
                  <c:v>828.88719858748846</c:v>
                </c:pt>
                <c:pt idx="26">
                  <c:v>814.65864754646907</c:v>
                </c:pt>
                <c:pt idx="27">
                  <c:v>798.86811073876572</c:v>
                </c:pt>
                <c:pt idx="28">
                  <c:v>781.63576368407189</c:v>
                </c:pt>
                <c:pt idx="29">
                  <c:v>763.09275494864937</c:v>
                </c:pt>
                <c:pt idx="30">
                  <c:v>743.38020802554934</c:v>
                </c:pt>
                <c:pt idx="31">
                  <c:v>722.64814729961824</c:v>
                </c:pt>
                <c:pt idx="32">
                  <c:v>701.05435627134068</c:v>
                </c:pt>
                <c:pt idx="33">
                  <c:v>678.76317672912944</c:v>
                </c:pt>
                <c:pt idx="34">
                  <c:v>655.94425800908277</c:v>
                </c:pt>
                <c:pt idx="35">
                  <c:v>632.77126586110057</c:v>
                </c:pt>
                <c:pt idx="36">
                  <c:v>609.42056074766356</c:v>
                </c:pt>
                <c:pt idx="37">
                  <c:v>586.06985563422677</c:v>
                </c:pt>
                <c:pt idx="38">
                  <c:v>562.89686348624423</c:v>
                </c:pt>
                <c:pt idx="39">
                  <c:v>540.0779447661979</c:v>
                </c:pt>
                <c:pt idx="40">
                  <c:v>517.78676522398655</c:v>
                </c:pt>
                <c:pt idx="41">
                  <c:v>496.19297419570898</c:v>
                </c:pt>
                <c:pt idx="42">
                  <c:v>475.46091346977772</c:v>
                </c:pt>
                <c:pt idx="43">
                  <c:v>455.74836654667791</c:v>
                </c:pt>
                <c:pt idx="44">
                  <c:v>437.20535781125528</c:v>
                </c:pt>
                <c:pt idx="45">
                  <c:v>419.97301075656139</c:v>
                </c:pt>
                <c:pt idx="46">
                  <c:v>404.18247394885805</c:v>
                </c:pt>
                <c:pt idx="47">
                  <c:v>389.95392290783877</c:v>
                </c:pt>
                <c:pt idx="48">
                  <c:v>377.39564549835956</c:v>
                </c:pt>
                <c:pt idx="49">
                  <c:v>366.60321779440187</c:v>
                </c:pt>
                <c:pt idx="50">
                  <c:v>357.65877668743883</c:v>
                </c:pt>
                <c:pt idx="51">
                  <c:v>350.63039477509557</c:v>
                </c:pt>
                <c:pt idx="52">
                  <c:v>345.57156228757822</c:v>
                </c:pt>
                <c:pt idx="53">
                  <c:v>342.52077999472323</c:v>
                </c:pt>
                <c:pt idx="54">
                  <c:v>341.50126619189194</c:v>
                </c:pt>
                <c:pt idx="55">
                  <c:v>342.52077999472323</c:v>
                </c:pt>
                <c:pt idx="56">
                  <c:v>345.57156228757816</c:v>
                </c:pt>
                <c:pt idx="57">
                  <c:v>350.63039477509562</c:v>
                </c:pt>
                <c:pt idx="58">
                  <c:v>357.65877668743872</c:v>
                </c:pt>
                <c:pt idx="59">
                  <c:v>366.60321779440181</c:v>
                </c:pt>
                <c:pt idx="60">
                  <c:v>377.3956454983595</c:v>
                </c:pt>
                <c:pt idx="61">
                  <c:v>389.95392290783866</c:v>
                </c:pt>
                <c:pt idx="62">
                  <c:v>404.18247394885805</c:v>
                </c:pt>
                <c:pt idx="63">
                  <c:v>419.97301075656134</c:v>
                </c:pt>
                <c:pt idx="64">
                  <c:v>437.20535781125523</c:v>
                </c:pt>
                <c:pt idx="65">
                  <c:v>455.74836654667774</c:v>
                </c:pt>
                <c:pt idx="66">
                  <c:v>475.46091346977767</c:v>
                </c:pt>
                <c:pt idx="67">
                  <c:v>496.19297419570876</c:v>
                </c:pt>
                <c:pt idx="68">
                  <c:v>517.78676522398655</c:v>
                </c:pt>
                <c:pt idx="69">
                  <c:v>540.07794476619779</c:v>
                </c:pt>
                <c:pt idx="70">
                  <c:v>562.896863486244</c:v>
                </c:pt>
                <c:pt idx="71">
                  <c:v>586.06985563422666</c:v>
                </c:pt>
                <c:pt idx="72">
                  <c:v>609.42056074766344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5-4867-8B26-74B81D9B7306}"/>
            </c:ext>
          </c:extLst>
        </c:ser>
        <c:ser>
          <c:idx val="1"/>
          <c:order val="1"/>
          <c:tx>
            <c:strRef>
              <c:f>'MethylNap+H'!$I$2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'MethylNap+H'!$I$3:$I$4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'MethylNap+H'!$J$3:$J$4</c:f>
              <c:numCache>
                <c:formatCode>General</c:formatCode>
                <c:ptCount val="2"/>
                <c:pt idx="0">
                  <c:v>0</c:v>
                </c:pt>
                <c:pt idx="1">
                  <c:v>1672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B5-4867-8B26-74B81D9B7306}"/>
            </c:ext>
          </c:extLst>
        </c:ser>
        <c:ser>
          <c:idx val="2"/>
          <c:order val="2"/>
          <c:tx>
            <c:strRef>
              <c:f>'MethylNap+H'!$K$2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'MethylNap+H'!$K$3:$K$4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720</c:v>
                </c:pt>
              </c:numCache>
            </c:numRef>
          </c:xVal>
          <c:yVal>
            <c:numRef>
              <c:f>'MethylNap+H'!$L$3:$L$4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B5-4867-8B26-74B81D9B7306}"/>
            </c:ext>
          </c:extLst>
        </c:ser>
        <c:ser>
          <c:idx val="3"/>
          <c:order val="3"/>
          <c:tx>
            <c:strRef>
              <c:f>'MethylNap+H'!$U$2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'MethylNap+H'!$U$3:$U$4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720</c:v>
                </c:pt>
              </c:numCache>
            </c:numRef>
          </c:xVal>
          <c:yVal>
            <c:numRef>
              <c:f>'MethylNap+H'!$V$3:$V$4</c:f>
              <c:numCache>
                <c:formatCode>General</c:formatCode>
                <c:ptCount val="2"/>
                <c:pt idx="0">
                  <c:v>1672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B5-4867-8B26-74B81D9B7306}"/>
            </c:ext>
          </c:extLst>
        </c:ser>
        <c:ser>
          <c:idx val="4"/>
          <c:order val="4"/>
          <c:tx>
            <c:strRef>
              <c:f>'MethylNap+H'!$M$2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'MethylNap+H'!$M$3:$M$4</c:f>
              <c:numCache>
                <c:formatCode>General</c:formatCode>
                <c:ptCount val="2"/>
                <c:pt idx="0">
                  <c:v>0</c:v>
                </c:pt>
                <c:pt idx="1">
                  <c:v>457.57009345794393</c:v>
                </c:pt>
              </c:numCache>
            </c:numRef>
          </c:xVal>
          <c:yVal>
            <c:numRef>
              <c:f>'MethylNap+H'!$N$3:$N$4</c:f>
              <c:numCache>
                <c:formatCode>General</c:formatCode>
                <c:ptCount val="2"/>
                <c:pt idx="0">
                  <c:v>0</c:v>
                </c:pt>
                <c:pt idx="1">
                  <c:v>609.42056074766356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B5-4867-8B26-74B81D9B7306}"/>
            </c:ext>
          </c:extLst>
        </c:ser>
        <c:ser>
          <c:idx val="5"/>
          <c:order val="5"/>
          <c:tx>
            <c:strRef>
              <c:f>'MethylNap+H'!$O$2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'MethylNap+H'!$O$3:$O$4</c:f>
              <c:numCache>
                <c:formatCode>General</c:formatCode>
                <c:ptCount val="2"/>
                <c:pt idx="0">
                  <c:v>0</c:v>
                </c:pt>
                <c:pt idx="1">
                  <c:v>564.92144003858891</c:v>
                </c:pt>
              </c:numCache>
            </c:numRef>
          </c:xVal>
          <c:yVal>
            <c:numRef>
              <c:f>'MethylNap+H'!$P$3:$P$4</c:f>
              <c:numCache>
                <c:formatCode>General</c:formatCode>
                <c:ptCount val="2"/>
                <c:pt idx="0">
                  <c:v>0</c:v>
                </c:pt>
                <c:pt idx="1">
                  <c:v>360.12687813261016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B5-4867-8B26-74B81D9B7306}"/>
            </c:ext>
          </c:extLst>
        </c:ser>
        <c:ser>
          <c:idx val="6"/>
          <c:order val="6"/>
          <c:tx>
            <c:strRef>
              <c:f>'MethylNap+H'!$Q$2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'MethylNap+H'!$Q$3:$Q$4</c:f>
              <c:numCache>
                <c:formatCode>General</c:formatCode>
                <c:ptCount val="2"/>
                <c:pt idx="0">
                  <c:v>0</c:v>
                </c:pt>
                <c:pt idx="1">
                  <c:v>291.38379923612808</c:v>
                </c:pt>
              </c:numCache>
            </c:numRef>
          </c:xVal>
          <c:yVal>
            <c:numRef>
              <c:f>'MethylNap+H'!$R$3:$R$4</c:f>
              <c:numCache>
                <c:formatCode>General</c:formatCode>
                <c:ptCount val="2"/>
                <c:pt idx="0">
                  <c:v>0</c:v>
                </c:pt>
                <c:pt idx="1">
                  <c:v>995.3420662183247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B5-4867-8B26-74B81D9B7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48140447810661"/>
          <c:y val="5.927340530397502E-2"/>
          <c:w val="0.44104362203766301"/>
          <c:h val="0.918040403320625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'NoTNap+H'!$S$2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'NoTNap+H'!$S$3:$S$75</c:f>
              <c:numCache>
                <c:formatCode>General</c:formatCode>
                <c:ptCount val="73"/>
                <c:pt idx="0">
                  <c:v>374.4097031423579</c:v>
                </c:pt>
                <c:pt idx="1">
                  <c:v>373.91595623740375</c:v>
                </c:pt>
                <c:pt idx="2">
                  <c:v>372.43847323462052</c:v>
                </c:pt>
                <c:pt idx="3">
                  <c:v>369.98849867178808</c:v>
                </c:pt>
                <c:pt idx="4">
                  <c:v>366.58467833466455</c:v>
                </c:pt>
                <c:pt idx="5">
                  <c:v>362.25291735129849</c:v>
                </c:pt>
                <c:pt idx="6">
                  <c:v>357.02618303836203</c:v>
                </c:pt>
                <c:pt idx="7">
                  <c:v>350.9442539999651</c:v>
                </c:pt>
                <c:pt idx="8">
                  <c:v>344.05341738845902</c:v>
                </c:pt>
                <c:pt idx="9">
                  <c:v>336.40611663125839</c:v>
                </c:pt>
                <c:pt idx="10">
                  <c:v>328.06055230469178</c:v>
                </c:pt>
                <c:pt idx="11">
                  <c:v>319.08023919247398</c:v>
                </c:pt>
                <c:pt idx="12">
                  <c:v>309.53352289985025</c:v>
                </c:pt>
                <c:pt idx="13">
                  <c:v>299.49305970227238</c:v>
                </c:pt>
                <c:pt idx="14">
                  <c:v>289.0352635872714</c:v>
                </c:pt>
                <c:pt idx="15">
                  <c:v>278.23972469787236</c:v>
                </c:pt>
                <c:pt idx="16">
                  <c:v>267.18860360354819</c:v>
                </c:pt>
                <c:pt idx="17">
                  <c:v>255.96600600867603</c:v>
                </c:pt>
                <c:pt idx="18">
                  <c:v>244.65734265734264</c:v>
                </c:pt>
                <c:pt idx="19">
                  <c:v>233.34867930600925</c:v>
                </c:pt>
                <c:pt idx="20">
                  <c:v>222.12608171113712</c:v>
                </c:pt>
                <c:pt idx="21">
                  <c:v>211.07496061681292</c:v>
                </c:pt>
                <c:pt idx="22">
                  <c:v>200.27942172741388</c:v>
                </c:pt>
                <c:pt idx="23">
                  <c:v>189.8216256124129</c:v>
                </c:pt>
                <c:pt idx="24">
                  <c:v>179.78116241483502</c:v>
                </c:pt>
                <c:pt idx="25">
                  <c:v>170.23444612221132</c:v>
                </c:pt>
                <c:pt idx="26">
                  <c:v>161.2541330099935</c:v>
                </c:pt>
                <c:pt idx="27">
                  <c:v>152.90856868342692</c:v>
                </c:pt>
                <c:pt idx="28">
                  <c:v>145.26126792622625</c:v>
                </c:pt>
                <c:pt idx="29">
                  <c:v>138.37043131472024</c:v>
                </c:pt>
                <c:pt idx="30">
                  <c:v>132.28850227632324</c:v>
                </c:pt>
                <c:pt idx="31">
                  <c:v>127.0617679633868</c:v>
                </c:pt>
                <c:pt idx="32">
                  <c:v>122.73000698002072</c:v>
                </c:pt>
                <c:pt idx="33">
                  <c:v>119.32618664289723</c:v>
                </c:pt>
                <c:pt idx="34">
                  <c:v>116.87621208006475</c:v>
                </c:pt>
                <c:pt idx="35">
                  <c:v>115.39872907728153</c:v>
                </c:pt>
                <c:pt idx="36">
                  <c:v>114.90498217232738</c:v>
                </c:pt>
                <c:pt idx="37">
                  <c:v>115.39872907728153</c:v>
                </c:pt>
                <c:pt idx="38">
                  <c:v>116.87621208006475</c:v>
                </c:pt>
                <c:pt idx="39">
                  <c:v>119.3261866428972</c:v>
                </c:pt>
                <c:pt idx="40">
                  <c:v>122.7300069800207</c:v>
                </c:pt>
                <c:pt idx="41">
                  <c:v>127.06176796338679</c:v>
                </c:pt>
                <c:pt idx="42">
                  <c:v>132.28850227632324</c:v>
                </c:pt>
                <c:pt idx="43">
                  <c:v>138.37043131472018</c:v>
                </c:pt>
                <c:pt idx="44">
                  <c:v>145.26126792622625</c:v>
                </c:pt>
                <c:pt idx="45">
                  <c:v>152.90856868342689</c:v>
                </c:pt>
                <c:pt idx="46">
                  <c:v>161.2541330099935</c:v>
                </c:pt>
                <c:pt idx="47">
                  <c:v>170.23444612221124</c:v>
                </c:pt>
                <c:pt idx="48">
                  <c:v>179.78116241483497</c:v>
                </c:pt>
                <c:pt idx="49">
                  <c:v>189.82162561241282</c:v>
                </c:pt>
                <c:pt idx="50">
                  <c:v>200.27942172741379</c:v>
                </c:pt>
                <c:pt idx="51">
                  <c:v>211.07496061681297</c:v>
                </c:pt>
                <c:pt idx="52">
                  <c:v>222.12608171113712</c:v>
                </c:pt>
                <c:pt idx="53">
                  <c:v>233.34867930600922</c:v>
                </c:pt>
                <c:pt idx="54">
                  <c:v>244.65734265734261</c:v>
                </c:pt>
                <c:pt idx="55">
                  <c:v>255.966006008676</c:v>
                </c:pt>
                <c:pt idx="56">
                  <c:v>267.18860360354813</c:v>
                </c:pt>
                <c:pt idx="57">
                  <c:v>278.23972469787236</c:v>
                </c:pt>
                <c:pt idx="58">
                  <c:v>289.03526358727129</c:v>
                </c:pt>
                <c:pt idx="59">
                  <c:v>299.49305970227243</c:v>
                </c:pt>
                <c:pt idx="60">
                  <c:v>309.53352289985025</c:v>
                </c:pt>
                <c:pt idx="61">
                  <c:v>319.08023919247398</c:v>
                </c:pt>
                <c:pt idx="62">
                  <c:v>328.06055230469178</c:v>
                </c:pt>
                <c:pt idx="63">
                  <c:v>336.40611663125833</c:v>
                </c:pt>
                <c:pt idx="64">
                  <c:v>344.05341738845902</c:v>
                </c:pt>
                <c:pt idx="65">
                  <c:v>350.94425399996504</c:v>
                </c:pt>
                <c:pt idx="66">
                  <c:v>357.02618303836198</c:v>
                </c:pt>
                <c:pt idx="67">
                  <c:v>362.25291735129844</c:v>
                </c:pt>
                <c:pt idx="68">
                  <c:v>366.58467833466455</c:v>
                </c:pt>
                <c:pt idx="69">
                  <c:v>369.98849867178808</c:v>
                </c:pt>
                <c:pt idx="70">
                  <c:v>372.43847323462052</c:v>
                </c:pt>
                <c:pt idx="71">
                  <c:v>373.91595623740375</c:v>
                </c:pt>
                <c:pt idx="72">
                  <c:v>374.4097031423579</c:v>
                </c:pt>
              </c:numCache>
            </c:numRef>
          </c:xVal>
          <c:yVal>
            <c:numRef>
              <c:f>'NoTNap+H'!$T$3:$T$75</c:f>
              <c:numCache>
                <c:formatCode>General</c:formatCode>
                <c:ptCount val="73"/>
                <c:pt idx="0">
                  <c:v>598.23076923076928</c:v>
                </c:pt>
                <c:pt idx="1">
                  <c:v>609.53943258210268</c:v>
                </c:pt>
                <c:pt idx="2">
                  <c:v>620.7620301769748</c:v>
                </c:pt>
                <c:pt idx="3">
                  <c:v>631.81315127129892</c:v>
                </c:pt>
                <c:pt idx="4">
                  <c:v>642.60869016069807</c:v>
                </c:pt>
                <c:pt idx="5">
                  <c:v>653.06648627569905</c:v>
                </c:pt>
                <c:pt idx="6">
                  <c:v>663.10694947327693</c:v>
                </c:pt>
                <c:pt idx="7">
                  <c:v>672.65366576590066</c:v>
                </c:pt>
                <c:pt idx="8">
                  <c:v>681.63397887811846</c:v>
                </c:pt>
                <c:pt idx="9">
                  <c:v>689.979543204685</c:v>
                </c:pt>
                <c:pt idx="10">
                  <c:v>697.6268439618857</c:v>
                </c:pt>
                <c:pt idx="11">
                  <c:v>704.51768057339177</c:v>
                </c:pt>
                <c:pt idx="12">
                  <c:v>710.59960961178865</c:v>
                </c:pt>
                <c:pt idx="13">
                  <c:v>715.82634392472517</c:v>
                </c:pt>
                <c:pt idx="14">
                  <c:v>720.15810490809122</c:v>
                </c:pt>
                <c:pt idx="15">
                  <c:v>723.56192524521475</c:v>
                </c:pt>
                <c:pt idx="16">
                  <c:v>726.01189980804713</c:v>
                </c:pt>
                <c:pt idx="17">
                  <c:v>727.48938281083042</c:v>
                </c:pt>
                <c:pt idx="18">
                  <c:v>727.98312971578457</c:v>
                </c:pt>
                <c:pt idx="19">
                  <c:v>727.48938281083042</c:v>
                </c:pt>
                <c:pt idx="20">
                  <c:v>726.01189980804713</c:v>
                </c:pt>
                <c:pt idx="21">
                  <c:v>723.56192524521475</c:v>
                </c:pt>
                <c:pt idx="22">
                  <c:v>720.15810490809122</c:v>
                </c:pt>
                <c:pt idx="23">
                  <c:v>715.82634392472517</c:v>
                </c:pt>
                <c:pt idx="24">
                  <c:v>710.59960961178865</c:v>
                </c:pt>
                <c:pt idx="25">
                  <c:v>704.51768057339177</c:v>
                </c:pt>
                <c:pt idx="26">
                  <c:v>697.6268439618857</c:v>
                </c:pt>
                <c:pt idx="27">
                  <c:v>689.979543204685</c:v>
                </c:pt>
                <c:pt idx="28">
                  <c:v>681.63397887811846</c:v>
                </c:pt>
                <c:pt idx="29">
                  <c:v>672.65366576590066</c:v>
                </c:pt>
                <c:pt idx="30">
                  <c:v>663.10694947327693</c:v>
                </c:pt>
                <c:pt idx="31">
                  <c:v>653.06648627569905</c:v>
                </c:pt>
                <c:pt idx="32">
                  <c:v>642.60869016069807</c:v>
                </c:pt>
                <c:pt idx="33">
                  <c:v>631.81315127129903</c:v>
                </c:pt>
                <c:pt idx="34">
                  <c:v>620.7620301769748</c:v>
                </c:pt>
                <c:pt idx="35">
                  <c:v>609.53943258210279</c:v>
                </c:pt>
                <c:pt idx="36">
                  <c:v>598.23076923076928</c:v>
                </c:pt>
                <c:pt idx="37">
                  <c:v>586.92210587943589</c:v>
                </c:pt>
                <c:pt idx="38">
                  <c:v>575.69950828456376</c:v>
                </c:pt>
                <c:pt idx="39">
                  <c:v>564.64838719023965</c:v>
                </c:pt>
                <c:pt idx="40">
                  <c:v>553.85284830084049</c:v>
                </c:pt>
                <c:pt idx="41">
                  <c:v>543.39505218583952</c:v>
                </c:pt>
                <c:pt idx="42">
                  <c:v>533.35458898826164</c:v>
                </c:pt>
                <c:pt idx="43">
                  <c:v>523.80787269563803</c:v>
                </c:pt>
                <c:pt idx="44">
                  <c:v>514.82755958342011</c:v>
                </c:pt>
                <c:pt idx="45">
                  <c:v>506.48199525685357</c:v>
                </c:pt>
                <c:pt idx="46">
                  <c:v>498.83469449965287</c:v>
                </c:pt>
                <c:pt idx="47">
                  <c:v>491.94385788814685</c:v>
                </c:pt>
                <c:pt idx="48">
                  <c:v>485.86192884974992</c:v>
                </c:pt>
                <c:pt idx="49">
                  <c:v>480.63519453681346</c:v>
                </c:pt>
                <c:pt idx="50">
                  <c:v>476.30343355344735</c:v>
                </c:pt>
                <c:pt idx="51">
                  <c:v>472.89961321632387</c:v>
                </c:pt>
                <c:pt idx="52">
                  <c:v>470.44963865349138</c:v>
                </c:pt>
                <c:pt idx="53">
                  <c:v>468.97215565070815</c:v>
                </c:pt>
                <c:pt idx="54">
                  <c:v>468.478408745754</c:v>
                </c:pt>
                <c:pt idx="55">
                  <c:v>468.97215565070815</c:v>
                </c:pt>
                <c:pt idx="56">
                  <c:v>470.44963865349138</c:v>
                </c:pt>
                <c:pt idx="57">
                  <c:v>472.89961321632387</c:v>
                </c:pt>
                <c:pt idx="58">
                  <c:v>476.30343355344735</c:v>
                </c:pt>
                <c:pt idx="59">
                  <c:v>480.63519453681346</c:v>
                </c:pt>
                <c:pt idx="60">
                  <c:v>485.86192884974992</c:v>
                </c:pt>
                <c:pt idx="61">
                  <c:v>491.94385788814685</c:v>
                </c:pt>
                <c:pt idx="62">
                  <c:v>498.83469449965287</c:v>
                </c:pt>
                <c:pt idx="63">
                  <c:v>506.48199525685357</c:v>
                </c:pt>
                <c:pt idx="64">
                  <c:v>514.82755958342011</c:v>
                </c:pt>
                <c:pt idx="65">
                  <c:v>523.80787269563791</c:v>
                </c:pt>
                <c:pt idx="66">
                  <c:v>533.35458898826164</c:v>
                </c:pt>
                <c:pt idx="67">
                  <c:v>543.3950521858394</c:v>
                </c:pt>
                <c:pt idx="68">
                  <c:v>553.85284830084049</c:v>
                </c:pt>
                <c:pt idx="69">
                  <c:v>564.64838719023965</c:v>
                </c:pt>
                <c:pt idx="70">
                  <c:v>575.69950828456365</c:v>
                </c:pt>
                <c:pt idx="71">
                  <c:v>586.92210587943589</c:v>
                </c:pt>
                <c:pt idx="72">
                  <c:v>598.23076923076928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08-4149-AE69-80538413CD81}"/>
            </c:ext>
          </c:extLst>
        </c:ser>
        <c:ser>
          <c:idx val="1"/>
          <c:order val="1"/>
          <c:tx>
            <c:strRef>
              <c:f>'MethylNap+H'!$I$2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'MethylNap+H'!$I$3:$I$4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'MethylNap+H'!$J$3:$J$4</c:f>
              <c:numCache>
                <c:formatCode>General</c:formatCode>
                <c:ptCount val="2"/>
                <c:pt idx="0">
                  <c:v>0</c:v>
                </c:pt>
                <c:pt idx="1">
                  <c:v>1672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08-4149-AE69-80538413CD81}"/>
            </c:ext>
          </c:extLst>
        </c:ser>
        <c:ser>
          <c:idx val="2"/>
          <c:order val="2"/>
          <c:tx>
            <c:strRef>
              <c:f>'MethylNap+H'!$K$2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'MethylNap+H'!$K$3:$K$4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720</c:v>
                </c:pt>
              </c:numCache>
            </c:numRef>
          </c:xVal>
          <c:yVal>
            <c:numRef>
              <c:f>'MethylNap+H'!$L$3:$L$4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08-4149-AE69-80538413CD81}"/>
            </c:ext>
          </c:extLst>
        </c:ser>
        <c:ser>
          <c:idx val="3"/>
          <c:order val="3"/>
          <c:tx>
            <c:strRef>
              <c:f>'MethylNap+H'!$U$2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'MethylNap+H'!$U$3:$U$4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720</c:v>
                </c:pt>
              </c:numCache>
            </c:numRef>
          </c:xVal>
          <c:yVal>
            <c:numRef>
              <c:f>'MethylNap+H'!$V$3:$V$4</c:f>
              <c:numCache>
                <c:formatCode>General</c:formatCode>
                <c:ptCount val="2"/>
                <c:pt idx="0">
                  <c:v>1672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08-4149-AE69-80538413CD81}"/>
            </c:ext>
          </c:extLst>
        </c:ser>
        <c:ser>
          <c:idx val="4"/>
          <c:order val="4"/>
          <c:tx>
            <c:strRef>
              <c:f>'MethylNap+H'!$M$2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'MethylNap+H'!$M$3:$M$4</c:f>
              <c:numCache>
                <c:formatCode>General</c:formatCode>
                <c:ptCount val="2"/>
                <c:pt idx="0">
                  <c:v>0</c:v>
                </c:pt>
                <c:pt idx="1">
                  <c:v>457.57009345794393</c:v>
                </c:pt>
              </c:numCache>
            </c:numRef>
          </c:xVal>
          <c:yVal>
            <c:numRef>
              <c:f>'MethylNap+H'!$N$3:$N$4</c:f>
              <c:numCache>
                <c:formatCode>General</c:formatCode>
                <c:ptCount val="2"/>
                <c:pt idx="0">
                  <c:v>0</c:v>
                </c:pt>
                <c:pt idx="1">
                  <c:v>609.42056074766356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B08-4149-AE69-80538413CD81}"/>
            </c:ext>
          </c:extLst>
        </c:ser>
        <c:ser>
          <c:idx val="5"/>
          <c:order val="5"/>
          <c:tx>
            <c:strRef>
              <c:f>'NoTNap+H'!$O$2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'NoTNap+H'!$O$3:$O$4</c:f>
              <c:numCache>
                <c:formatCode>General</c:formatCode>
                <c:ptCount val="2"/>
                <c:pt idx="0">
                  <c:v>0</c:v>
                </c:pt>
                <c:pt idx="1">
                  <c:v>337.55321319448421</c:v>
                </c:pt>
              </c:numCache>
            </c:numRef>
          </c:xVal>
          <c:yVal>
            <c:numRef>
              <c:f>'NoTNap+H'!$P$3:$P$4</c:f>
              <c:numCache>
                <c:formatCode>General</c:formatCode>
                <c:ptCount val="2"/>
                <c:pt idx="0">
                  <c:v>0</c:v>
                </c:pt>
                <c:pt idx="1">
                  <c:v>503.77362355854973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B08-4149-AE69-80538413CD81}"/>
            </c:ext>
          </c:extLst>
        </c:ser>
        <c:ser>
          <c:idx val="6"/>
          <c:order val="6"/>
          <c:tx>
            <c:strRef>
              <c:f>'NoTNap+H'!$Q$2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'NoTNap+H'!$Q$3:$Q$4</c:f>
              <c:numCache>
                <c:formatCode>General</c:formatCode>
                <c:ptCount val="2"/>
                <c:pt idx="0">
                  <c:v>0</c:v>
                </c:pt>
                <c:pt idx="1">
                  <c:v>133.83929989328166</c:v>
                </c:pt>
              </c:numCache>
            </c:numRef>
          </c:xVal>
          <c:yVal>
            <c:numRef>
              <c:f>'NoTNap+H'!$R$3:$R$4</c:f>
              <c:numCache>
                <c:formatCode>General</c:formatCode>
                <c:ptCount val="2"/>
                <c:pt idx="0">
                  <c:v>0</c:v>
                </c:pt>
                <c:pt idx="1">
                  <c:v>710.91130010851191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B08-4149-AE69-80538413C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263581260975462E-2"/>
          <c:y val="0.1430600618789595"/>
          <c:w val="0.9147286821705426"/>
          <c:h val="0.521026568664364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'NoTNap+H'!$S$2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'NoTNap+H'!$S$3:$S$75</c:f>
              <c:numCache>
                <c:formatCode>General</c:formatCode>
                <c:ptCount val="73"/>
                <c:pt idx="0">
                  <c:v>374.4097031423579</c:v>
                </c:pt>
                <c:pt idx="1">
                  <c:v>373.91595623740375</c:v>
                </c:pt>
                <c:pt idx="2">
                  <c:v>372.43847323462052</c:v>
                </c:pt>
                <c:pt idx="3">
                  <c:v>369.98849867178808</c:v>
                </c:pt>
                <c:pt idx="4">
                  <c:v>366.58467833466455</c:v>
                </c:pt>
                <c:pt idx="5">
                  <c:v>362.25291735129849</c:v>
                </c:pt>
                <c:pt idx="6">
                  <c:v>357.02618303836203</c:v>
                </c:pt>
                <c:pt idx="7">
                  <c:v>350.9442539999651</c:v>
                </c:pt>
                <c:pt idx="8">
                  <c:v>344.05341738845902</c:v>
                </c:pt>
                <c:pt idx="9">
                  <c:v>336.40611663125839</c:v>
                </c:pt>
                <c:pt idx="10">
                  <c:v>328.06055230469178</c:v>
                </c:pt>
                <c:pt idx="11">
                  <c:v>319.08023919247398</c:v>
                </c:pt>
                <c:pt idx="12">
                  <c:v>309.53352289985025</c:v>
                </c:pt>
                <c:pt idx="13">
                  <c:v>299.49305970227238</c:v>
                </c:pt>
                <c:pt idx="14">
                  <c:v>289.0352635872714</c:v>
                </c:pt>
                <c:pt idx="15">
                  <c:v>278.23972469787236</c:v>
                </c:pt>
                <c:pt idx="16">
                  <c:v>267.18860360354819</c:v>
                </c:pt>
                <c:pt idx="17">
                  <c:v>255.96600600867603</c:v>
                </c:pt>
                <c:pt idx="18">
                  <c:v>244.65734265734264</c:v>
                </c:pt>
                <c:pt idx="19">
                  <c:v>233.34867930600925</c:v>
                </c:pt>
                <c:pt idx="20">
                  <c:v>222.12608171113712</c:v>
                </c:pt>
                <c:pt idx="21">
                  <c:v>211.07496061681292</c:v>
                </c:pt>
                <c:pt idx="22">
                  <c:v>200.27942172741388</c:v>
                </c:pt>
                <c:pt idx="23">
                  <c:v>189.8216256124129</c:v>
                </c:pt>
                <c:pt idx="24">
                  <c:v>179.78116241483502</c:v>
                </c:pt>
                <c:pt idx="25">
                  <c:v>170.23444612221132</c:v>
                </c:pt>
                <c:pt idx="26">
                  <c:v>161.2541330099935</c:v>
                </c:pt>
                <c:pt idx="27">
                  <c:v>152.90856868342692</c:v>
                </c:pt>
                <c:pt idx="28">
                  <c:v>145.26126792622625</c:v>
                </c:pt>
                <c:pt idx="29">
                  <c:v>138.37043131472024</c:v>
                </c:pt>
                <c:pt idx="30">
                  <c:v>132.28850227632324</c:v>
                </c:pt>
                <c:pt idx="31">
                  <c:v>127.0617679633868</c:v>
                </c:pt>
                <c:pt idx="32">
                  <c:v>122.73000698002072</c:v>
                </c:pt>
                <c:pt idx="33">
                  <c:v>119.32618664289723</c:v>
                </c:pt>
                <c:pt idx="34">
                  <c:v>116.87621208006475</c:v>
                </c:pt>
                <c:pt idx="35">
                  <c:v>115.39872907728153</c:v>
                </c:pt>
                <c:pt idx="36">
                  <c:v>114.90498217232738</c:v>
                </c:pt>
                <c:pt idx="37">
                  <c:v>115.39872907728153</c:v>
                </c:pt>
                <c:pt idx="38">
                  <c:v>116.87621208006475</c:v>
                </c:pt>
                <c:pt idx="39">
                  <c:v>119.3261866428972</c:v>
                </c:pt>
                <c:pt idx="40">
                  <c:v>122.7300069800207</c:v>
                </c:pt>
                <c:pt idx="41">
                  <c:v>127.06176796338679</c:v>
                </c:pt>
                <c:pt idx="42">
                  <c:v>132.28850227632324</c:v>
                </c:pt>
                <c:pt idx="43">
                  <c:v>138.37043131472018</c:v>
                </c:pt>
                <c:pt idx="44">
                  <c:v>145.26126792622625</c:v>
                </c:pt>
                <c:pt idx="45">
                  <c:v>152.90856868342689</c:v>
                </c:pt>
                <c:pt idx="46">
                  <c:v>161.2541330099935</c:v>
                </c:pt>
                <c:pt idx="47">
                  <c:v>170.23444612221124</c:v>
                </c:pt>
                <c:pt idx="48">
                  <c:v>179.78116241483497</c:v>
                </c:pt>
                <c:pt idx="49">
                  <c:v>189.82162561241282</c:v>
                </c:pt>
                <c:pt idx="50">
                  <c:v>200.27942172741379</c:v>
                </c:pt>
                <c:pt idx="51">
                  <c:v>211.07496061681297</c:v>
                </c:pt>
                <c:pt idx="52">
                  <c:v>222.12608171113712</c:v>
                </c:pt>
                <c:pt idx="53">
                  <c:v>233.34867930600922</c:v>
                </c:pt>
                <c:pt idx="54">
                  <c:v>244.65734265734261</c:v>
                </c:pt>
                <c:pt idx="55">
                  <c:v>255.966006008676</c:v>
                </c:pt>
                <c:pt idx="56">
                  <c:v>267.18860360354813</c:v>
                </c:pt>
                <c:pt idx="57">
                  <c:v>278.23972469787236</c:v>
                </c:pt>
                <c:pt idx="58">
                  <c:v>289.03526358727129</c:v>
                </c:pt>
                <c:pt idx="59">
                  <c:v>299.49305970227243</c:v>
                </c:pt>
                <c:pt idx="60">
                  <c:v>309.53352289985025</c:v>
                </c:pt>
                <c:pt idx="61">
                  <c:v>319.08023919247398</c:v>
                </c:pt>
                <c:pt idx="62">
                  <c:v>328.06055230469178</c:v>
                </c:pt>
                <c:pt idx="63">
                  <c:v>336.40611663125833</c:v>
                </c:pt>
                <c:pt idx="64">
                  <c:v>344.05341738845902</c:v>
                </c:pt>
                <c:pt idx="65">
                  <c:v>350.94425399996504</c:v>
                </c:pt>
                <c:pt idx="66">
                  <c:v>357.02618303836198</c:v>
                </c:pt>
                <c:pt idx="67">
                  <c:v>362.25291735129844</c:v>
                </c:pt>
                <c:pt idx="68">
                  <c:v>366.58467833466455</c:v>
                </c:pt>
                <c:pt idx="69">
                  <c:v>369.98849867178808</c:v>
                </c:pt>
                <c:pt idx="70">
                  <c:v>372.43847323462052</c:v>
                </c:pt>
                <c:pt idx="71">
                  <c:v>373.91595623740375</c:v>
                </c:pt>
                <c:pt idx="72">
                  <c:v>374.4097031423579</c:v>
                </c:pt>
              </c:numCache>
            </c:numRef>
          </c:xVal>
          <c:yVal>
            <c:numRef>
              <c:f>'NoTNap+H'!$T$3:$T$75</c:f>
              <c:numCache>
                <c:formatCode>General</c:formatCode>
                <c:ptCount val="73"/>
                <c:pt idx="0">
                  <c:v>598.23076923076928</c:v>
                </c:pt>
                <c:pt idx="1">
                  <c:v>609.53943258210268</c:v>
                </c:pt>
                <c:pt idx="2">
                  <c:v>620.7620301769748</c:v>
                </c:pt>
                <c:pt idx="3">
                  <c:v>631.81315127129892</c:v>
                </c:pt>
                <c:pt idx="4">
                  <c:v>642.60869016069807</c:v>
                </c:pt>
                <c:pt idx="5">
                  <c:v>653.06648627569905</c:v>
                </c:pt>
                <c:pt idx="6">
                  <c:v>663.10694947327693</c:v>
                </c:pt>
                <c:pt idx="7">
                  <c:v>672.65366576590066</c:v>
                </c:pt>
                <c:pt idx="8">
                  <c:v>681.63397887811846</c:v>
                </c:pt>
                <c:pt idx="9">
                  <c:v>689.979543204685</c:v>
                </c:pt>
                <c:pt idx="10">
                  <c:v>697.6268439618857</c:v>
                </c:pt>
                <c:pt idx="11">
                  <c:v>704.51768057339177</c:v>
                </c:pt>
                <c:pt idx="12">
                  <c:v>710.59960961178865</c:v>
                </c:pt>
                <c:pt idx="13">
                  <c:v>715.82634392472517</c:v>
                </c:pt>
                <c:pt idx="14">
                  <c:v>720.15810490809122</c:v>
                </c:pt>
                <c:pt idx="15">
                  <c:v>723.56192524521475</c:v>
                </c:pt>
                <c:pt idx="16">
                  <c:v>726.01189980804713</c:v>
                </c:pt>
                <c:pt idx="17">
                  <c:v>727.48938281083042</c:v>
                </c:pt>
                <c:pt idx="18">
                  <c:v>727.98312971578457</c:v>
                </c:pt>
                <c:pt idx="19">
                  <c:v>727.48938281083042</c:v>
                </c:pt>
                <c:pt idx="20">
                  <c:v>726.01189980804713</c:v>
                </c:pt>
                <c:pt idx="21">
                  <c:v>723.56192524521475</c:v>
                </c:pt>
                <c:pt idx="22">
                  <c:v>720.15810490809122</c:v>
                </c:pt>
                <c:pt idx="23">
                  <c:v>715.82634392472517</c:v>
                </c:pt>
                <c:pt idx="24">
                  <c:v>710.59960961178865</c:v>
                </c:pt>
                <c:pt idx="25">
                  <c:v>704.51768057339177</c:v>
                </c:pt>
                <c:pt idx="26">
                  <c:v>697.6268439618857</c:v>
                </c:pt>
                <c:pt idx="27">
                  <c:v>689.979543204685</c:v>
                </c:pt>
                <c:pt idx="28">
                  <c:v>681.63397887811846</c:v>
                </c:pt>
                <c:pt idx="29">
                  <c:v>672.65366576590066</c:v>
                </c:pt>
                <c:pt idx="30">
                  <c:v>663.10694947327693</c:v>
                </c:pt>
                <c:pt idx="31">
                  <c:v>653.06648627569905</c:v>
                </c:pt>
                <c:pt idx="32">
                  <c:v>642.60869016069807</c:v>
                </c:pt>
                <c:pt idx="33">
                  <c:v>631.81315127129903</c:v>
                </c:pt>
                <c:pt idx="34">
                  <c:v>620.7620301769748</c:v>
                </c:pt>
                <c:pt idx="35">
                  <c:v>609.53943258210279</c:v>
                </c:pt>
                <c:pt idx="36">
                  <c:v>598.23076923076928</c:v>
                </c:pt>
                <c:pt idx="37">
                  <c:v>586.92210587943589</c:v>
                </c:pt>
                <c:pt idx="38">
                  <c:v>575.69950828456376</c:v>
                </c:pt>
                <c:pt idx="39">
                  <c:v>564.64838719023965</c:v>
                </c:pt>
                <c:pt idx="40">
                  <c:v>553.85284830084049</c:v>
                </c:pt>
                <c:pt idx="41">
                  <c:v>543.39505218583952</c:v>
                </c:pt>
                <c:pt idx="42">
                  <c:v>533.35458898826164</c:v>
                </c:pt>
                <c:pt idx="43">
                  <c:v>523.80787269563803</c:v>
                </c:pt>
                <c:pt idx="44">
                  <c:v>514.82755958342011</c:v>
                </c:pt>
                <c:pt idx="45">
                  <c:v>506.48199525685357</c:v>
                </c:pt>
                <c:pt idx="46">
                  <c:v>498.83469449965287</c:v>
                </c:pt>
                <c:pt idx="47">
                  <c:v>491.94385788814685</c:v>
                </c:pt>
                <c:pt idx="48">
                  <c:v>485.86192884974992</c:v>
                </c:pt>
                <c:pt idx="49">
                  <c:v>480.63519453681346</c:v>
                </c:pt>
                <c:pt idx="50">
                  <c:v>476.30343355344735</c:v>
                </c:pt>
                <c:pt idx="51">
                  <c:v>472.89961321632387</c:v>
                </c:pt>
                <c:pt idx="52">
                  <c:v>470.44963865349138</c:v>
                </c:pt>
                <c:pt idx="53">
                  <c:v>468.97215565070815</c:v>
                </c:pt>
                <c:pt idx="54">
                  <c:v>468.478408745754</c:v>
                </c:pt>
                <c:pt idx="55">
                  <c:v>468.97215565070815</c:v>
                </c:pt>
                <c:pt idx="56">
                  <c:v>470.44963865349138</c:v>
                </c:pt>
                <c:pt idx="57">
                  <c:v>472.89961321632387</c:v>
                </c:pt>
                <c:pt idx="58">
                  <c:v>476.30343355344735</c:v>
                </c:pt>
                <c:pt idx="59">
                  <c:v>480.63519453681346</c:v>
                </c:pt>
                <c:pt idx="60">
                  <c:v>485.86192884974992</c:v>
                </c:pt>
                <c:pt idx="61">
                  <c:v>491.94385788814685</c:v>
                </c:pt>
                <c:pt idx="62">
                  <c:v>498.83469449965287</c:v>
                </c:pt>
                <c:pt idx="63">
                  <c:v>506.48199525685357</c:v>
                </c:pt>
                <c:pt idx="64">
                  <c:v>514.82755958342011</c:v>
                </c:pt>
                <c:pt idx="65">
                  <c:v>523.80787269563791</c:v>
                </c:pt>
                <c:pt idx="66">
                  <c:v>533.35458898826164</c:v>
                </c:pt>
                <c:pt idx="67">
                  <c:v>543.3950521858394</c:v>
                </c:pt>
                <c:pt idx="68">
                  <c:v>553.85284830084049</c:v>
                </c:pt>
                <c:pt idx="69">
                  <c:v>564.64838719023965</c:v>
                </c:pt>
                <c:pt idx="70">
                  <c:v>575.69950828456365</c:v>
                </c:pt>
                <c:pt idx="71">
                  <c:v>586.92210587943589</c:v>
                </c:pt>
                <c:pt idx="72">
                  <c:v>598.23076923076928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A6-4292-888A-AFFA4FB61FB5}"/>
            </c:ext>
          </c:extLst>
        </c:ser>
        <c:ser>
          <c:idx val="1"/>
          <c:order val="1"/>
          <c:tx>
            <c:strRef>
              <c:f>'MethylNap+H'!$I$2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'MethylNap+H'!$I$3:$I$4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'MethylNap+H'!$J$3:$J$4</c:f>
              <c:numCache>
                <c:formatCode>General</c:formatCode>
                <c:ptCount val="2"/>
                <c:pt idx="0">
                  <c:v>0</c:v>
                </c:pt>
                <c:pt idx="1">
                  <c:v>1672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A6-4292-888A-AFFA4FB61FB5}"/>
            </c:ext>
          </c:extLst>
        </c:ser>
        <c:ser>
          <c:idx val="2"/>
          <c:order val="2"/>
          <c:tx>
            <c:strRef>
              <c:f>'MethylNap+H'!$K$2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'MethylNap+H'!$K$3:$K$4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720</c:v>
                </c:pt>
              </c:numCache>
            </c:numRef>
          </c:xVal>
          <c:yVal>
            <c:numRef>
              <c:f>'MethylNap+H'!$L$3:$L$4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A6-4292-888A-AFFA4FB61FB5}"/>
            </c:ext>
          </c:extLst>
        </c:ser>
        <c:ser>
          <c:idx val="3"/>
          <c:order val="3"/>
          <c:tx>
            <c:strRef>
              <c:f>'MethylNap+H'!$U$2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'MethylNap+H'!$U$3:$U$4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720</c:v>
                </c:pt>
              </c:numCache>
            </c:numRef>
          </c:xVal>
          <c:yVal>
            <c:numRef>
              <c:f>'MethylNap+H'!$V$3:$V$4</c:f>
              <c:numCache>
                <c:formatCode>General</c:formatCode>
                <c:ptCount val="2"/>
                <c:pt idx="0">
                  <c:v>1672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A6-4292-888A-AFFA4FB61FB5}"/>
            </c:ext>
          </c:extLst>
        </c:ser>
        <c:ser>
          <c:idx val="4"/>
          <c:order val="4"/>
          <c:tx>
            <c:strRef>
              <c:f>'MethylNap+H'!$M$2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'MethylNap+H'!$M$3:$M$4</c:f>
              <c:numCache>
                <c:formatCode>General</c:formatCode>
                <c:ptCount val="2"/>
                <c:pt idx="0">
                  <c:v>0</c:v>
                </c:pt>
                <c:pt idx="1">
                  <c:v>457.57009345794393</c:v>
                </c:pt>
              </c:numCache>
            </c:numRef>
          </c:xVal>
          <c:yVal>
            <c:numRef>
              <c:f>'MethylNap+H'!$N$3:$N$4</c:f>
              <c:numCache>
                <c:formatCode>General</c:formatCode>
                <c:ptCount val="2"/>
                <c:pt idx="0">
                  <c:v>0</c:v>
                </c:pt>
                <c:pt idx="1">
                  <c:v>609.42056074766356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A6-4292-888A-AFFA4FB61FB5}"/>
            </c:ext>
          </c:extLst>
        </c:ser>
        <c:ser>
          <c:idx val="5"/>
          <c:order val="5"/>
          <c:tx>
            <c:strRef>
              <c:f>'NoTNap+H'!$O$2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'NoTNap+H'!$O$3:$O$4</c:f>
              <c:numCache>
                <c:formatCode>General</c:formatCode>
                <c:ptCount val="2"/>
                <c:pt idx="0">
                  <c:v>0</c:v>
                </c:pt>
                <c:pt idx="1">
                  <c:v>337.55321319448421</c:v>
                </c:pt>
              </c:numCache>
            </c:numRef>
          </c:xVal>
          <c:yVal>
            <c:numRef>
              <c:f>'NoTNap+H'!$P$3:$P$4</c:f>
              <c:numCache>
                <c:formatCode>General</c:formatCode>
                <c:ptCount val="2"/>
                <c:pt idx="0">
                  <c:v>0</c:v>
                </c:pt>
                <c:pt idx="1">
                  <c:v>503.77362355854973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A6-4292-888A-AFFA4FB61FB5}"/>
            </c:ext>
          </c:extLst>
        </c:ser>
        <c:ser>
          <c:idx val="6"/>
          <c:order val="6"/>
          <c:tx>
            <c:strRef>
              <c:f>'NoTNap+H'!$Q$2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'NoTNap+H'!$Q$3:$Q$4</c:f>
              <c:numCache>
                <c:formatCode>General</c:formatCode>
                <c:ptCount val="2"/>
                <c:pt idx="0">
                  <c:v>0</c:v>
                </c:pt>
                <c:pt idx="1">
                  <c:v>133.83929989328166</c:v>
                </c:pt>
              </c:numCache>
            </c:numRef>
          </c:xVal>
          <c:yVal>
            <c:numRef>
              <c:f>'NoTNap+H'!$R$3:$R$4</c:f>
              <c:numCache>
                <c:formatCode>General</c:formatCode>
                <c:ptCount val="2"/>
                <c:pt idx="0">
                  <c:v>0</c:v>
                </c:pt>
                <c:pt idx="1">
                  <c:v>710.91130010851191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4A6-4292-888A-AFFA4FB61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</xdr:colOff>
      <xdr:row>5</xdr:row>
      <xdr:rowOff>9524</xdr:rowOff>
    </xdr:from>
    <xdr:to>
      <xdr:col>16</xdr:col>
      <xdr:colOff>352425</xdr:colOff>
      <xdr:row>40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66673</xdr:colOff>
      <xdr:row>4</xdr:row>
      <xdr:rowOff>133351</xdr:rowOff>
    </xdr:from>
    <xdr:to>
      <xdr:col>26</xdr:col>
      <xdr:colOff>581025</xdr:colOff>
      <xdr:row>36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323850</xdr:colOff>
      <xdr:row>7</xdr:row>
      <xdr:rowOff>66675</xdr:rowOff>
    </xdr:from>
    <xdr:to>
      <xdr:col>17</xdr:col>
      <xdr:colOff>254000</xdr:colOff>
      <xdr:row>39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75"/>
  <sheetViews>
    <sheetView tabSelected="1" workbookViewId="0">
      <selection activeCell="D35" sqref="D35"/>
    </sheetView>
  </sheetViews>
  <sheetFormatPr defaultColWidth="9" defaultRowHeight="15"/>
  <cols>
    <col min="1" max="1" width="15.7109375" style="12" bestFit="1" customWidth="1"/>
    <col min="2" max="2" width="19.140625" style="12" customWidth="1"/>
    <col min="3" max="4" width="12.42578125" style="12" bestFit="1" customWidth="1"/>
    <col min="5" max="5" width="16.7109375" style="12" customWidth="1"/>
    <col min="6" max="16384" width="9" style="12"/>
  </cols>
  <sheetData>
    <row r="1" spans="1:22">
      <c r="A1" s="12" t="s">
        <v>0</v>
      </c>
      <c r="B1" s="12" t="s">
        <v>1</v>
      </c>
    </row>
    <row r="2" spans="1:22" ht="15.75" thickBot="1">
      <c r="I2" s="53" t="s">
        <v>16</v>
      </c>
      <c r="J2" s="53"/>
      <c r="K2" s="53" t="s">
        <v>17</v>
      </c>
      <c r="L2" s="53"/>
      <c r="M2" s="53" t="s">
        <v>4</v>
      </c>
      <c r="N2" s="53"/>
      <c r="O2" s="53" t="s">
        <v>14</v>
      </c>
      <c r="P2" s="53"/>
      <c r="Q2" s="53" t="s">
        <v>15</v>
      </c>
      <c r="R2" s="53"/>
      <c r="S2" s="53" t="s">
        <v>18</v>
      </c>
      <c r="T2" s="53"/>
      <c r="U2" s="53" t="s">
        <v>20</v>
      </c>
      <c r="V2" s="53"/>
    </row>
    <row r="3" spans="1:22" ht="15.75" thickBot="1">
      <c r="A3" s="13"/>
      <c r="B3" s="21">
        <v>1</v>
      </c>
      <c r="C3" s="21">
        <v>2</v>
      </c>
      <c r="D3" s="21">
        <v>3</v>
      </c>
      <c r="E3" s="22">
        <v>4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  <c r="R3" s="12">
        <v>0</v>
      </c>
      <c r="S3" s="12">
        <f t="shared" ref="S3:S34" si="0">$M$4+COS((ROW()-3)*5*PI()/180)*$B$15</f>
        <v>725.4893880137156</v>
      </c>
      <c r="T3" s="12">
        <f t="shared" ref="T3:T34" si="1">$N$4+SIN((ROW()-3)*5*PI()/180)*$B$15</f>
        <v>609.42056074766356</v>
      </c>
      <c r="U3" s="12">
        <v>0</v>
      </c>
      <c r="V3" s="12">
        <f>J4</f>
        <v>1672</v>
      </c>
    </row>
    <row r="4" spans="1:22" ht="15.75" thickTop="1">
      <c r="A4" s="19" t="s">
        <v>2</v>
      </c>
      <c r="B4" s="24" t="s">
        <v>40</v>
      </c>
      <c r="C4" s="25" t="s">
        <v>41</v>
      </c>
      <c r="D4" s="25" t="s">
        <v>42</v>
      </c>
      <c r="E4" s="26"/>
      <c r="I4" s="12">
        <v>0</v>
      </c>
      <c r="J4" s="12">
        <f>B9</f>
        <v>1672</v>
      </c>
      <c r="K4" s="14">
        <f>C9</f>
        <v>720</v>
      </c>
      <c r="L4" s="12">
        <v>0</v>
      </c>
      <c r="M4" s="12">
        <f>J4/(TAN(PI()/2-D18)+J4/K4)</f>
        <v>457.57009345794393</v>
      </c>
      <c r="N4" s="12">
        <f>M4*TAN(PI()/2-D18)</f>
        <v>609.42056074766356</v>
      </c>
      <c r="O4" s="12">
        <f>J4/(TAN(PI()/2-D19)+J4/K4)</f>
        <v>564.92144003858891</v>
      </c>
      <c r="P4" s="12">
        <f>O4*TAN(PI()/2-D19)</f>
        <v>360.12687813261016</v>
      </c>
      <c r="Q4" s="12">
        <f>J4/(TAN(PI()/2-D20)+J4/K4)</f>
        <v>291.38379923612808</v>
      </c>
      <c r="R4" s="12">
        <f>Q4*TAN(PI()/2-D20)</f>
        <v>995.3420662183247</v>
      </c>
      <c r="S4" s="12">
        <f t="shared" si="0"/>
        <v>724.4698742108842</v>
      </c>
      <c r="T4" s="12">
        <f t="shared" si="1"/>
        <v>632.77126586110046</v>
      </c>
      <c r="U4" s="14">
        <f>K4</f>
        <v>720</v>
      </c>
      <c r="V4" s="12">
        <v>0</v>
      </c>
    </row>
    <row r="5" spans="1:22">
      <c r="A5" s="19" t="s">
        <v>3</v>
      </c>
      <c r="B5" s="27" t="s">
        <v>36</v>
      </c>
      <c r="C5" s="23" t="s">
        <v>37</v>
      </c>
      <c r="D5" s="23" t="s">
        <v>38</v>
      </c>
      <c r="E5" s="28" t="s">
        <v>39</v>
      </c>
      <c r="S5" s="12">
        <f t="shared" si="0"/>
        <v>721.41909191802927</v>
      </c>
      <c r="T5" s="12">
        <f t="shared" si="1"/>
        <v>655.94425800908289</v>
      </c>
    </row>
    <row r="6" spans="1:22">
      <c r="A6" s="19" t="s">
        <v>10</v>
      </c>
      <c r="B6" s="27">
        <v>39</v>
      </c>
      <c r="C6" s="23">
        <v>68</v>
      </c>
      <c r="D6" s="23">
        <v>106</v>
      </c>
      <c r="E6" s="29">
        <v>1</v>
      </c>
      <c r="F6" s="12">
        <f>B6+C6-D6-E6</f>
        <v>0</v>
      </c>
      <c r="S6" s="12">
        <f t="shared" si="0"/>
        <v>716.36025943051186</v>
      </c>
      <c r="T6" s="12">
        <f t="shared" si="1"/>
        <v>678.76317672912933</v>
      </c>
    </row>
    <row r="7" spans="1:22">
      <c r="A7" s="19" t="s">
        <v>25</v>
      </c>
      <c r="B7" s="27">
        <v>526</v>
      </c>
      <c r="C7" s="23">
        <v>76</v>
      </c>
      <c r="D7" s="23">
        <v>18</v>
      </c>
      <c r="E7" s="28">
        <v>218</v>
      </c>
      <c r="F7" s="12">
        <f>E7+D7-C7-B7</f>
        <v>-366</v>
      </c>
      <c r="S7" s="12">
        <f t="shared" si="0"/>
        <v>709.33187751816877</v>
      </c>
      <c r="T7" s="12">
        <f t="shared" si="1"/>
        <v>701.05435627134057</v>
      </c>
    </row>
    <row r="8" spans="1:22" ht="15.75" thickBot="1">
      <c r="A8" s="20" t="s">
        <v>22</v>
      </c>
      <c r="B8" s="30">
        <v>1738</v>
      </c>
      <c r="C8" s="55">
        <v>727</v>
      </c>
      <c r="D8" s="31"/>
      <c r="E8" s="32"/>
      <c r="S8" s="12">
        <f t="shared" si="0"/>
        <v>700.38743641120573</v>
      </c>
      <c r="T8" s="12">
        <f t="shared" si="1"/>
        <v>722.64814729961824</v>
      </c>
    </row>
    <row r="9" spans="1:22">
      <c r="A9" s="12" t="s">
        <v>13</v>
      </c>
      <c r="B9" s="50">
        <v>1672</v>
      </c>
      <c r="C9" s="50">
        <v>720</v>
      </c>
      <c r="S9" s="12">
        <f t="shared" si="0"/>
        <v>689.59500870724798</v>
      </c>
      <c r="T9" s="12">
        <f t="shared" si="1"/>
        <v>743.38020802554934</v>
      </c>
    </row>
    <row r="10" spans="1:22">
      <c r="S10" s="12">
        <f t="shared" si="0"/>
        <v>677.03673129776882</v>
      </c>
      <c r="T10" s="12">
        <f t="shared" si="1"/>
        <v>763.09275494864926</v>
      </c>
    </row>
    <row r="11" spans="1:22">
      <c r="A11" s="12" t="s">
        <v>12</v>
      </c>
      <c r="B11" s="17">
        <v>10.3</v>
      </c>
      <c r="C11" s="17">
        <v>5.0999999999999996</v>
      </c>
      <c r="S11" s="12">
        <f t="shared" si="0"/>
        <v>662.80818025674944</v>
      </c>
      <c r="T11" s="12">
        <f t="shared" si="1"/>
        <v>781.63576368407189</v>
      </c>
    </row>
    <row r="12" spans="1:22">
      <c r="A12" s="12" t="s">
        <v>8</v>
      </c>
      <c r="B12" s="17">
        <v>366000</v>
      </c>
      <c r="C12" s="15" t="s">
        <v>21</v>
      </c>
      <c r="S12" s="12">
        <f t="shared" si="0"/>
        <v>647.01764344904609</v>
      </c>
      <c r="T12" s="12">
        <f t="shared" si="1"/>
        <v>798.86811073876572</v>
      </c>
    </row>
    <row r="13" spans="1:22">
      <c r="A13" s="12" t="s">
        <v>6</v>
      </c>
      <c r="B13" s="49">
        <f>0.5*B6*C6*0.001*(B9*B9+C9*C9)/(B6+C6)</f>
        <v>41068.624149532712</v>
      </c>
      <c r="C13" s="15" t="s">
        <v>43</v>
      </c>
      <c r="S13" s="12">
        <f t="shared" si="0"/>
        <v>629.78529639435226</v>
      </c>
      <c r="T13" s="12">
        <f t="shared" si="1"/>
        <v>814.65864754646907</v>
      </c>
    </row>
    <row r="14" spans="1:22">
      <c r="A14" s="12" t="s">
        <v>5</v>
      </c>
      <c r="B14" s="12">
        <f>((B12+B13)*2*1000*(B6+C6)/D6/E6)^0.5</f>
        <v>28667.364517467566</v>
      </c>
      <c r="C14" s="15"/>
      <c r="S14" s="12">
        <f t="shared" si="0"/>
        <v>611.24228765892963</v>
      </c>
      <c r="T14" s="12">
        <f t="shared" si="1"/>
        <v>828.88719858748846</v>
      </c>
    </row>
    <row r="15" spans="1:22">
      <c r="A15" s="12" t="s">
        <v>7</v>
      </c>
      <c r="B15" s="49">
        <f>E6*B14/(D6+E6)</f>
        <v>267.91929455577161</v>
      </c>
      <c r="C15" s="15" t="s">
        <v>9</v>
      </c>
      <c r="S15" s="12">
        <f t="shared" si="0"/>
        <v>591.52974073582982</v>
      </c>
      <c r="T15" s="12">
        <f t="shared" si="1"/>
        <v>841.44547599696762</v>
      </c>
    </row>
    <row r="16" spans="1:22">
      <c r="A16" s="12" t="s">
        <v>11</v>
      </c>
      <c r="B16" s="49">
        <f>(B6^2*B9^2+C6^2*C9^2)^0.5/(B6+C6)</f>
        <v>762.07861162028962</v>
      </c>
      <c r="C16" s="15" t="s">
        <v>9</v>
      </c>
      <c r="S16" s="12">
        <f t="shared" si="0"/>
        <v>570.79768000989861</v>
      </c>
      <c r="T16" s="12">
        <f t="shared" si="1"/>
        <v>852.23790370092524</v>
      </c>
    </row>
    <row r="17" spans="1:20">
      <c r="A17" s="12" t="s">
        <v>23</v>
      </c>
      <c r="B17" s="12">
        <v>0.75</v>
      </c>
      <c r="C17" s="15"/>
      <c r="S17" s="12">
        <f t="shared" si="0"/>
        <v>549.20388898162105</v>
      </c>
      <c r="T17" s="12">
        <f t="shared" si="1"/>
        <v>861.18234480788828</v>
      </c>
    </row>
    <row r="18" spans="1:20">
      <c r="A18" s="46" t="s">
        <v>4</v>
      </c>
      <c r="B18" s="47" t="str">
        <f>TEXT(ATAN(C6*C9/B6/B9)*180/PI()+$B$17,"0.00")&amp;"°"</f>
        <v>37.65°</v>
      </c>
      <c r="C18" s="15" t="s">
        <v>19</v>
      </c>
      <c r="D18" s="12">
        <f>ATAN(C6*C9/B6/B9)</f>
        <v>0.6440308944748232</v>
      </c>
      <c r="S18" s="12">
        <f t="shared" si="0"/>
        <v>526.9127094394097</v>
      </c>
      <c r="T18" s="12">
        <f t="shared" si="1"/>
        <v>868.21072672023161</v>
      </c>
    </row>
    <row r="19" spans="1:20">
      <c r="A19" s="46" t="s">
        <v>14</v>
      </c>
      <c r="B19" s="48" t="str">
        <f>TEXT(ATAN(C6*C9/B6/B9)*180/PI()+$B$17+ASIN(B15/B16)*180/PI(),"0.00")&amp;"°"</f>
        <v>58.23°</v>
      </c>
      <c r="C19" s="15" t="s">
        <v>19</v>
      </c>
      <c r="D19" s="12">
        <f>ATAN(C6*C9/B6/B9)+ASIN(B15/B16)</f>
        <v>1.00327196804054</v>
      </c>
      <c r="S19" s="12">
        <f t="shared" si="0"/>
        <v>504.0937907193632</v>
      </c>
      <c r="T19" s="12">
        <f t="shared" si="1"/>
        <v>873.2695592077489</v>
      </c>
    </row>
    <row r="20" spans="1:20">
      <c r="A20" s="46" t="s">
        <v>15</v>
      </c>
      <c r="B20" s="48" t="str">
        <f>TEXT(ATAN(C6*C9/B6/B9)*180/PI()+$B$17-ASIN(B15/B16)*180/PI(),"0.00")&amp;"°"</f>
        <v>17.07°</v>
      </c>
      <c r="C20" s="15" t="s">
        <v>19</v>
      </c>
      <c r="D20" s="12">
        <f>ATAN(C6*C9/B6/B9)-ASIN(B15/B16)</f>
        <v>0.28478982090910632</v>
      </c>
      <c r="S20" s="12">
        <f t="shared" si="0"/>
        <v>480.92079857138083</v>
      </c>
      <c r="T20" s="12">
        <f t="shared" si="1"/>
        <v>876.32034150060394</v>
      </c>
    </row>
    <row r="21" spans="1:20">
      <c r="S21" s="12">
        <f t="shared" si="0"/>
        <v>457.57009345794393</v>
      </c>
      <c r="T21" s="12">
        <f t="shared" si="1"/>
        <v>877.33985530343512</v>
      </c>
    </row>
    <row r="22" spans="1:20">
      <c r="B22" s="51" t="s">
        <v>40</v>
      </c>
      <c r="C22" s="51" t="s">
        <v>41</v>
      </c>
      <c r="D22" s="51" t="s">
        <v>6</v>
      </c>
      <c r="S22" s="12">
        <f t="shared" si="0"/>
        <v>434.21938834450702</v>
      </c>
      <c r="T22" s="12">
        <f t="shared" si="1"/>
        <v>876.32034150060394</v>
      </c>
    </row>
    <row r="23" spans="1:20">
      <c r="B23" s="50">
        <v>1722</v>
      </c>
      <c r="C23" s="50">
        <v>701</v>
      </c>
      <c r="D23" s="50">
        <v>42.8</v>
      </c>
      <c r="S23" s="12">
        <f t="shared" si="0"/>
        <v>411.04639619652465</v>
      </c>
      <c r="T23" s="12">
        <f t="shared" si="1"/>
        <v>873.2695592077489</v>
      </c>
    </row>
    <row r="24" spans="1:20">
      <c r="B24" s="50">
        <v>1772</v>
      </c>
      <c r="C24" s="50">
        <v>720</v>
      </c>
      <c r="D24" s="50">
        <v>45.3</v>
      </c>
      <c r="S24" s="12">
        <f t="shared" si="0"/>
        <v>388.2274774764781</v>
      </c>
      <c r="T24" s="12">
        <f t="shared" si="1"/>
        <v>868.21072672023161</v>
      </c>
    </row>
    <row r="25" spans="1:20">
      <c r="B25" s="50">
        <v>1672</v>
      </c>
      <c r="C25" s="50">
        <v>682</v>
      </c>
      <c r="D25" s="50">
        <v>40.4</v>
      </c>
      <c r="E25" s="51" t="s">
        <v>44</v>
      </c>
      <c r="S25" s="12">
        <f t="shared" si="0"/>
        <v>365.93629793426686</v>
      </c>
      <c r="T25" s="12">
        <f t="shared" si="1"/>
        <v>861.18234480788828</v>
      </c>
    </row>
    <row r="26" spans="1:20">
      <c r="B26" s="50"/>
      <c r="C26" s="50"/>
      <c r="D26" s="52">
        <f>AVERAGE(D23:D25)</f>
        <v>42.833333333333336</v>
      </c>
      <c r="E26" s="52">
        <f>_xlfn.STDEV.P(D23:D25)</f>
        <v>2.0005554784164872</v>
      </c>
      <c r="S26" s="12">
        <f t="shared" si="0"/>
        <v>344.3425069059893</v>
      </c>
      <c r="T26" s="12">
        <f t="shared" si="1"/>
        <v>852.23790370092536</v>
      </c>
    </row>
    <row r="27" spans="1:20">
      <c r="B27" s="51" t="s">
        <v>40</v>
      </c>
      <c r="C27" s="51" t="s">
        <v>41</v>
      </c>
      <c r="D27" s="51" t="s">
        <v>6</v>
      </c>
      <c r="S27" s="12">
        <f t="shared" si="0"/>
        <v>323.61044618005815</v>
      </c>
      <c r="T27" s="12">
        <f t="shared" si="1"/>
        <v>841.44547599696762</v>
      </c>
    </row>
    <row r="28" spans="1:20">
      <c r="B28" s="50">
        <v>1722</v>
      </c>
      <c r="C28" s="50">
        <v>701</v>
      </c>
      <c r="D28" s="50">
        <f>36.12-0.75</f>
        <v>35.369999999999997</v>
      </c>
      <c r="S28" s="12">
        <f t="shared" si="0"/>
        <v>303.89789925695828</v>
      </c>
      <c r="T28" s="12">
        <f t="shared" si="1"/>
        <v>828.88719858748846</v>
      </c>
    </row>
    <row r="29" spans="1:20">
      <c r="B29" s="50">
        <v>1772</v>
      </c>
      <c r="C29" s="50">
        <v>682</v>
      </c>
      <c r="D29" s="50">
        <f>34.61-0.75</f>
        <v>33.86</v>
      </c>
      <c r="S29" s="12">
        <f t="shared" si="0"/>
        <v>285.35489052153559</v>
      </c>
      <c r="T29" s="12">
        <f t="shared" si="1"/>
        <v>814.65864754646907</v>
      </c>
    </row>
    <row r="30" spans="1:20">
      <c r="B30" s="50">
        <v>1672</v>
      </c>
      <c r="C30" s="50">
        <v>720</v>
      </c>
      <c r="D30" s="50">
        <f>37.65-0.75</f>
        <v>36.9</v>
      </c>
      <c r="E30" s="51" t="s">
        <v>44</v>
      </c>
      <c r="S30" s="12">
        <f t="shared" si="0"/>
        <v>268.12254346684176</v>
      </c>
      <c r="T30" s="12">
        <f t="shared" si="1"/>
        <v>798.86811073876572</v>
      </c>
    </row>
    <row r="31" spans="1:20">
      <c r="B31" s="50"/>
      <c r="D31" s="52">
        <f>AVERAGE(D28:D30)</f>
        <v>35.376666666666665</v>
      </c>
      <c r="E31" s="52">
        <f>_xlfn.STDEV.P(D28:D30)</f>
        <v>1.2410837557912391</v>
      </c>
      <c r="S31" s="12">
        <f t="shared" si="0"/>
        <v>252.33200665913844</v>
      </c>
      <c r="T31" s="12">
        <f t="shared" si="1"/>
        <v>781.63576368407189</v>
      </c>
    </row>
    <row r="32" spans="1:20">
      <c r="S32" s="12">
        <f t="shared" si="0"/>
        <v>238.10345561811911</v>
      </c>
      <c r="T32" s="12">
        <f t="shared" si="1"/>
        <v>763.09275494864937</v>
      </c>
    </row>
    <row r="33" spans="1:20">
      <c r="S33" s="12">
        <f t="shared" si="0"/>
        <v>225.54517820863984</v>
      </c>
      <c r="T33" s="12">
        <f t="shared" si="1"/>
        <v>743.38020802554934</v>
      </c>
    </row>
    <row r="34" spans="1:20">
      <c r="E34" s="12">
        <f>AVERAGE(E37:E49)</f>
        <v>1743.6153846153845</v>
      </c>
      <c r="F34" s="12">
        <f>AVERAGE(F37:F49)</f>
        <v>11.030769230769229</v>
      </c>
      <c r="G34" s="12">
        <f>AVERAGE(G37:G49)</f>
        <v>1728.6055542840625</v>
      </c>
      <c r="S34" s="12">
        <f t="shared" si="0"/>
        <v>214.75275050468218</v>
      </c>
      <c r="T34" s="12">
        <f t="shared" si="1"/>
        <v>722.64814729961824</v>
      </c>
    </row>
    <row r="35" spans="1:20">
      <c r="S35" s="12">
        <f t="shared" ref="S35:S66" si="2">$M$4+COS((ROW()-3)*5*PI()/180)*$B$15</f>
        <v>205.80830939771917</v>
      </c>
      <c r="T35" s="12">
        <f t="shared" ref="T35:T66" si="3">$N$4+SIN((ROW()-3)*5*PI()/180)*$B$15</f>
        <v>701.05435627134068</v>
      </c>
    </row>
    <row r="36" spans="1:20">
      <c r="A36" s="16" t="s">
        <v>26</v>
      </c>
      <c r="B36" s="16">
        <f>B37-1000000/480+B39/2-(B40/2-B41-B42)-0.0155*1000000/(B43*(B44+SQRT(B44*B44+4))/(B44+SQRT(B44*B44+8)))</f>
        <v>-214.69168842538633</v>
      </c>
      <c r="E36" s="17" t="s">
        <v>35</v>
      </c>
      <c r="F36" s="17" t="s">
        <v>12</v>
      </c>
      <c r="G36" s="17" t="s">
        <v>13</v>
      </c>
      <c r="H36" s="17"/>
      <c r="I36" s="17" t="s">
        <v>13</v>
      </c>
      <c r="J36" s="17" t="s">
        <v>32</v>
      </c>
      <c r="K36" s="17" t="s">
        <v>35</v>
      </c>
      <c r="S36" s="12">
        <f t="shared" si="2"/>
        <v>198.77992748537599</v>
      </c>
      <c r="T36" s="12">
        <f t="shared" si="3"/>
        <v>678.76317672912944</v>
      </c>
    </row>
    <row r="37" spans="1:20">
      <c r="A37" s="16" t="s">
        <v>27</v>
      </c>
      <c r="B37" s="16">
        <v>1861</v>
      </c>
      <c r="E37" s="12">
        <v>1783</v>
      </c>
      <c r="F37" s="12">
        <v>13</v>
      </c>
      <c r="G37" s="12">
        <f>E37*(F37+SQRT(F37*F37+4))/(F37+SQRT(F37*F37+8))</f>
        <v>1772.7518520730716</v>
      </c>
      <c r="I37" s="12">
        <v>845</v>
      </c>
      <c r="J37" s="12">
        <v>11</v>
      </c>
      <c r="K37" s="12">
        <f>I37/((J37+SQRT(J37*J37+4))/(J37+SQRT(J37*J37+8)))</f>
        <v>851.76129852953136</v>
      </c>
      <c r="S37" s="12">
        <f t="shared" si="2"/>
        <v>193.72109499785859</v>
      </c>
      <c r="T37" s="12">
        <f t="shared" si="3"/>
        <v>655.94425800908277</v>
      </c>
    </row>
    <row r="38" spans="1:20">
      <c r="A38" s="16" t="s">
        <v>28</v>
      </c>
      <c r="B38" s="16">
        <v>480</v>
      </c>
      <c r="E38" s="12">
        <v>1790</v>
      </c>
      <c r="F38" s="12">
        <v>13.4</v>
      </c>
      <c r="G38" s="12">
        <f>E38*(F38+SQRT(F38*F38+4))/(F38+SQRT(F38*F38+8))</f>
        <v>1780.3003979997932</v>
      </c>
      <c r="I38" s="12">
        <v>890</v>
      </c>
      <c r="J38" s="12">
        <v>7</v>
      </c>
      <c r="K38" s="12">
        <f t="shared" ref="K38:K49" si="4">I38/((J38+SQRT(J38*J38+4))/(J38+SQRT(J38*J38+8)))</f>
        <v>906.81043407876757</v>
      </c>
      <c r="S38" s="12">
        <f t="shared" si="2"/>
        <v>190.6703127050036</v>
      </c>
      <c r="T38" s="12">
        <f t="shared" si="3"/>
        <v>632.77126586110057</v>
      </c>
    </row>
    <row r="39" spans="1:20">
      <c r="A39" s="16" t="s">
        <v>34</v>
      </c>
      <c r="B39" s="16">
        <v>37</v>
      </c>
      <c r="E39" s="12">
        <v>1735</v>
      </c>
      <c r="F39" s="12">
        <v>10.7</v>
      </c>
      <c r="G39" s="12">
        <f>E39*(F39+SQRT(F39*F39+4))/(F39+SQRT(F39*F39+8))</f>
        <v>1720.4768782445847</v>
      </c>
      <c r="I39" s="12">
        <v>860</v>
      </c>
      <c r="J39" s="12">
        <v>16.600000000000001</v>
      </c>
      <c r="K39" s="12">
        <f t="shared" si="4"/>
        <v>863.07638079457433</v>
      </c>
      <c r="S39" s="12">
        <f t="shared" si="2"/>
        <v>189.65079890217231</v>
      </c>
      <c r="T39" s="12">
        <f t="shared" si="3"/>
        <v>609.42056074766356</v>
      </c>
    </row>
    <row r="40" spans="1:20">
      <c r="A40" s="16" t="s">
        <v>33</v>
      </c>
      <c r="B40" s="16">
        <v>18.3</v>
      </c>
      <c r="E40" s="12">
        <v>1741</v>
      </c>
      <c r="F40" s="12">
        <v>10.9</v>
      </c>
      <c r="G40" s="12">
        <f t="shared" ref="G40:G49" si="5">E40*(F40+SQRT(F40*F40+4))/(F40+SQRT(F40*F40+8))</f>
        <v>1726.9353552249315</v>
      </c>
      <c r="I40" s="12">
        <v>715</v>
      </c>
      <c r="J40" s="12">
        <v>8.5</v>
      </c>
      <c r="K40" s="12">
        <f t="shared" si="4"/>
        <v>724.38189375987486</v>
      </c>
      <c r="S40" s="12">
        <f t="shared" si="2"/>
        <v>190.6703127050036</v>
      </c>
      <c r="T40" s="12">
        <f t="shared" si="3"/>
        <v>586.06985563422677</v>
      </c>
    </row>
    <row r="41" spans="1:20">
      <c r="A41" s="16" t="s">
        <v>29</v>
      </c>
      <c r="B41" s="16">
        <v>0.15</v>
      </c>
      <c r="E41" s="12">
        <v>1714</v>
      </c>
      <c r="F41" s="12">
        <v>8.6</v>
      </c>
      <c r="G41" s="12">
        <f t="shared" si="5"/>
        <v>1692.2822147331383</v>
      </c>
      <c r="I41" s="12">
        <v>880</v>
      </c>
      <c r="J41" s="12">
        <v>10</v>
      </c>
      <c r="K41" s="12">
        <f t="shared" si="4"/>
        <v>888.46388700458874</v>
      </c>
      <c r="S41" s="12">
        <f t="shared" si="2"/>
        <v>193.72109499785859</v>
      </c>
      <c r="T41" s="12">
        <f t="shared" si="3"/>
        <v>562.89686348624423</v>
      </c>
    </row>
    <row r="42" spans="1:20">
      <c r="A42" s="16" t="s">
        <v>30</v>
      </c>
      <c r="B42" s="16">
        <v>7.1</v>
      </c>
      <c r="E42" s="12">
        <v>1746</v>
      </c>
      <c r="F42" s="12">
        <v>15.8</v>
      </c>
      <c r="G42" s="12">
        <f t="shared" si="5"/>
        <v>1739.1429425491617</v>
      </c>
      <c r="I42" s="12">
        <v>1740</v>
      </c>
      <c r="J42" s="12">
        <v>8.1</v>
      </c>
      <c r="K42" s="12">
        <f t="shared" si="4"/>
        <v>1765.0119079187446</v>
      </c>
      <c r="S42" s="12">
        <f t="shared" si="2"/>
        <v>198.77992748537594</v>
      </c>
      <c r="T42" s="12">
        <f t="shared" si="3"/>
        <v>540.0779447661979</v>
      </c>
    </row>
    <row r="43" spans="1:20">
      <c r="A43" s="16" t="s">
        <v>31</v>
      </c>
      <c r="B43" s="16">
        <v>1744</v>
      </c>
      <c r="E43" s="12">
        <v>1749</v>
      </c>
      <c r="F43" s="12">
        <v>10.7</v>
      </c>
      <c r="G43" s="12">
        <f t="shared" si="5"/>
        <v>1734.3596887894976</v>
      </c>
      <c r="I43" s="12">
        <v>982</v>
      </c>
      <c r="J43" s="12">
        <v>5.6</v>
      </c>
      <c r="K43" s="12">
        <f t="shared" si="4"/>
        <v>1009.8385210671111</v>
      </c>
      <c r="S43" s="12">
        <f t="shared" si="2"/>
        <v>205.80830939771914</v>
      </c>
      <c r="T43" s="12">
        <f t="shared" si="3"/>
        <v>517.78676522398655</v>
      </c>
    </row>
    <row r="44" spans="1:20">
      <c r="A44" s="16" t="s">
        <v>32</v>
      </c>
      <c r="B44" s="16">
        <v>11.03</v>
      </c>
      <c r="E44" s="12">
        <v>1781</v>
      </c>
      <c r="F44" s="12">
        <v>11</v>
      </c>
      <c r="G44" s="12">
        <f t="shared" si="5"/>
        <v>1766.8623857389575</v>
      </c>
      <c r="I44" s="12">
        <v>778</v>
      </c>
      <c r="J44" s="12">
        <v>15.6</v>
      </c>
      <c r="K44" s="12">
        <f t="shared" si="4"/>
        <v>781.1453676825239</v>
      </c>
      <c r="S44" s="12">
        <f t="shared" si="2"/>
        <v>214.75275050468215</v>
      </c>
      <c r="T44" s="12">
        <f t="shared" si="3"/>
        <v>496.19297419570898</v>
      </c>
    </row>
    <row r="45" spans="1:20">
      <c r="E45" s="12">
        <v>1789</v>
      </c>
      <c r="F45" s="18">
        <v>11.8</v>
      </c>
      <c r="G45" s="12">
        <f t="shared" si="5"/>
        <v>1776.5952588866974</v>
      </c>
      <c r="I45" s="12">
        <v>1735</v>
      </c>
      <c r="J45" s="12">
        <v>19</v>
      </c>
      <c r="K45" s="12">
        <f t="shared" si="4"/>
        <v>1739.7535317024506</v>
      </c>
      <c r="S45" s="12">
        <f t="shared" si="2"/>
        <v>225.54517820863987</v>
      </c>
      <c r="T45" s="12">
        <f t="shared" si="3"/>
        <v>475.46091346977772</v>
      </c>
    </row>
    <row r="46" spans="1:20">
      <c r="E46" s="12">
        <v>1742</v>
      </c>
      <c r="F46" s="12">
        <v>9.3000000000000007</v>
      </c>
      <c r="G46" s="12">
        <f t="shared" si="5"/>
        <v>1722.9527620019867</v>
      </c>
      <c r="I46" s="12">
        <v>2644</v>
      </c>
      <c r="J46" s="12">
        <v>3.3</v>
      </c>
      <c r="K46" s="12">
        <f t="shared" si="4"/>
        <v>2824.0546211535025</v>
      </c>
      <c r="S46" s="12">
        <f t="shared" si="2"/>
        <v>238.103455618119</v>
      </c>
      <c r="T46" s="12">
        <f t="shared" si="3"/>
        <v>455.74836654667791</v>
      </c>
    </row>
    <row r="47" spans="1:20">
      <c r="E47" s="12">
        <v>1687</v>
      </c>
      <c r="F47" s="12">
        <v>10.4</v>
      </c>
      <c r="G47" s="12">
        <f t="shared" si="5"/>
        <v>1672.0883794087683</v>
      </c>
      <c r="I47" s="12">
        <v>1581</v>
      </c>
      <c r="J47" s="12">
        <v>2.5</v>
      </c>
      <c r="K47" s="12">
        <f t="shared" si="4"/>
        <v>1739.9870271543989</v>
      </c>
      <c r="S47" s="12">
        <f t="shared" si="2"/>
        <v>252.33200665913841</v>
      </c>
      <c r="T47" s="12">
        <f t="shared" si="3"/>
        <v>437.20535781125528</v>
      </c>
    </row>
    <row r="48" spans="1:20">
      <c r="E48" s="12">
        <v>1712</v>
      </c>
      <c r="F48" s="12">
        <v>7.6</v>
      </c>
      <c r="G48" s="12">
        <f t="shared" si="5"/>
        <v>1684.7003251273691</v>
      </c>
      <c r="I48" s="12">
        <v>777</v>
      </c>
      <c r="J48" s="12">
        <v>9.5</v>
      </c>
      <c r="K48" s="12">
        <f t="shared" si="4"/>
        <v>785.24681831687246</v>
      </c>
      <c r="S48" s="12">
        <f t="shared" si="2"/>
        <v>268.12254346684171</v>
      </c>
      <c r="T48" s="12">
        <f t="shared" si="3"/>
        <v>419.97301075656139</v>
      </c>
    </row>
    <row r="49" spans="5:20">
      <c r="E49" s="12">
        <v>1698</v>
      </c>
      <c r="F49" s="12">
        <v>10.199999999999999</v>
      </c>
      <c r="G49" s="12">
        <f t="shared" si="5"/>
        <v>1682.4237649148522</v>
      </c>
      <c r="I49" s="12">
        <v>710</v>
      </c>
      <c r="J49" s="12">
        <v>8</v>
      </c>
      <c r="K49" s="12">
        <f t="shared" si="4"/>
        <v>720.44796135587592</v>
      </c>
      <c r="S49" s="12">
        <f t="shared" si="2"/>
        <v>285.35489052153559</v>
      </c>
      <c r="T49" s="12">
        <f t="shared" si="3"/>
        <v>404.18247394885805</v>
      </c>
    </row>
    <row r="50" spans="5:20">
      <c r="S50" s="12">
        <f t="shared" si="2"/>
        <v>303.89789925695811</v>
      </c>
      <c r="T50" s="12">
        <f t="shared" si="3"/>
        <v>389.95392290783877</v>
      </c>
    </row>
    <row r="51" spans="5:20">
      <c r="E51" s="18"/>
      <c r="S51" s="12">
        <f t="shared" si="2"/>
        <v>323.61044618005803</v>
      </c>
      <c r="T51" s="12">
        <f t="shared" si="3"/>
        <v>377.39564549835956</v>
      </c>
    </row>
    <row r="52" spans="5:20">
      <c r="E52" s="12">
        <v>791</v>
      </c>
      <c r="F52" s="12">
        <v>10.3</v>
      </c>
      <c r="G52" s="12">
        <f>E52*(F52+SQRT(F52*F52+4))/(F52+SQRT(F52*F52+8))</f>
        <v>783.87789945313409</v>
      </c>
      <c r="S52" s="12">
        <f t="shared" si="2"/>
        <v>344.34250690598913</v>
      </c>
      <c r="T52" s="12">
        <f t="shared" si="3"/>
        <v>366.60321779440187</v>
      </c>
    </row>
    <row r="53" spans="5:20">
      <c r="S53" s="12">
        <f t="shared" si="2"/>
        <v>365.93629793426669</v>
      </c>
      <c r="T53" s="12">
        <f t="shared" si="3"/>
        <v>357.65877668743883</v>
      </c>
    </row>
    <row r="54" spans="5:20">
      <c r="S54" s="12">
        <f t="shared" si="2"/>
        <v>388.22747747647816</v>
      </c>
      <c r="T54" s="12">
        <f t="shared" si="3"/>
        <v>350.63039477509557</v>
      </c>
    </row>
    <row r="55" spans="5:20">
      <c r="S55" s="12">
        <f t="shared" si="2"/>
        <v>411.04639619652465</v>
      </c>
      <c r="T55" s="12">
        <f t="shared" si="3"/>
        <v>345.57156228757822</v>
      </c>
    </row>
    <row r="56" spans="5:20">
      <c r="S56" s="12">
        <f t="shared" si="2"/>
        <v>434.21938834450702</v>
      </c>
      <c r="T56" s="12">
        <f t="shared" si="3"/>
        <v>342.52077999472323</v>
      </c>
    </row>
    <row r="57" spans="5:20">
      <c r="S57" s="12">
        <f t="shared" si="2"/>
        <v>457.57009345794387</v>
      </c>
      <c r="T57" s="12">
        <f t="shared" si="3"/>
        <v>341.50126619189194</v>
      </c>
    </row>
    <row r="58" spans="5:20">
      <c r="S58" s="12">
        <f t="shared" si="2"/>
        <v>480.92079857138071</v>
      </c>
      <c r="T58" s="12">
        <f t="shared" si="3"/>
        <v>342.52077999472323</v>
      </c>
    </row>
    <row r="59" spans="5:20">
      <c r="S59" s="12">
        <f t="shared" si="2"/>
        <v>504.09379071936308</v>
      </c>
      <c r="T59" s="12">
        <f t="shared" si="3"/>
        <v>345.57156228757816</v>
      </c>
    </row>
    <row r="60" spans="5:20">
      <c r="S60" s="12">
        <f t="shared" si="2"/>
        <v>526.91270943940981</v>
      </c>
      <c r="T60" s="12">
        <f t="shared" si="3"/>
        <v>350.63039477509562</v>
      </c>
    </row>
    <row r="61" spans="5:20">
      <c r="E61" s="18"/>
      <c r="S61" s="12">
        <f t="shared" si="2"/>
        <v>549.20388898162082</v>
      </c>
      <c r="T61" s="12">
        <f t="shared" si="3"/>
        <v>357.65877668743872</v>
      </c>
    </row>
    <row r="62" spans="5:20">
      <c r="S62" s="12">
        <f t="shared" si="2"/>
        <v>570.79768000989861</v>
      </c>
      <c r="T62" s="12">
        <f t="shared" si="3"/>
        <v>366.60321779440181</v>
      </c>
    </row>
    <row r="63" spans="5:20">
      <c r="S63" s="12">
        <f t="shared" si="2"/>
        <v>591.52974073582982</v>
      </c>
      <c r="T63" s="12">
        <f t="shared" si="3"/>
        <v>377.3956454983595</v>
      </c>
    </row>
    <row r="64" spans="5:20">
      <c r="S64" s="12">
        <f t="shared" si="2"/>
        <v>611.24228765892963</v>
      </c>
      <c r="T64" s="12">
        <f t="shared" si="3"/>
        <v>389.95392290783866</v>
      </c>
    </row>
    <row r="65" spans="19:20">
      <c r="S65" s="12">
        <f t="shared" si="2"/>
        <v>629.78529639435214</v>
      </c>
      <c r="T65" s="12">
        <f t="shared" si="3"/>
        <v>404.18247394885805</v>
      </c>
    </row>
    <row r="66" spans="19:20">
      <c r="S66" s="12">
        <f t="shared" si="2"/>
        <v>647.01764344904609</v>
      </c>
      <c r="T66" s="12">
        <f t="shared" si="3"/>
        <v>419.97301075656134</v>
      </c>
    </row>
    <row r="67" spans="19:20">
      <c r="S67" s="12">
        <f t="shared" ref="S67:S75" si="6">$M$4+COS((ROW()-3)*5*PI()/180)*$B$15</f>
        <v>662.80818025674944</v>
      </c>
      <c r="T67" s="12">
        <f t="shared" ref="T67:T75" si="7">$N$4+SIN((ROW()-3)*5*PI()/180)*$B$15</f>
        <v>437.20535781125523</v>
      </c>
    </row>
    <row r="68" spans="19:20">
      <c r="S68" s="12">
        <f t="shared" si="6"/>
        <v>677.03673129776871</v>
      </c>
      <c r="T68" s="12">
        <f t="shared" si="7"/>
        <v>455.74836654667774</v>
      </c>
    </row>
    <row r="69" spans="19:20">
      <c r="S69" s="12">
        <f t="shared" si="6"/>
        <v>689.59500870724787</v>
      </c>
      <c r="T69" s="12">
        <f t="shared" si="7"/>
        <v>475.46091346977767</v>
      </c>
    </row>
    <row r="70" spans="19:20">
      <c r="S70" s="12">
        <f t="shared" si="6"/>
        <v>700.38743641120561</v>
      </c>
      <c r="T70" s="12">
        <f t="shared" si="7"/>
        <v>496.19297419570876</v>
      </c>
    </row>
    <row r="71" spans="19:20">
      <c r="S71" s="12">
        <f t="shared" si="6"/>
        <v>709.33187751816877</v>
      </c>
      <c r="T71" s="12">
        <f t="shared" si="7"/>
        <v>517.78676522398655</v>
      </c>
    </row>
    <row r="72" spans="19:20">
      <c r="S72" s="12">
        <f t="shared" si="6"/>
        <v>716.36025943051186</v>
      </c>
      <c r="T72" s="12">
        <f t="shared" si="7"/>
        <v>540.07794476619779</v>
      </c>
    </row>
    <row r="73" spans="19:20">
      <c r="S73" s="12">
        <f t="shared" si="6"/>
        <v>721.41909191802915</v>
      </c>
      <c r="T73" s="12">
        <f t="shared" si="7"/>
        <v>562.896863486244</v>
      </c>
    </row>
    <row r="74" spans="19:20">
      <c r="S74" s="12">
        <f t="shared" si="6"/>
        <v>724.4698742108842</v>
      </c>
      <c r="T74" s="12">
        <f t="shared" si="7"/>
        <v>586.06985563422666</v>
      </c>
    </row>
    <row r="75" spans="19:20">
      <c r="S75" s="12">
        <f t="shared" si="6"/>
        <v>725.4893880137156</v>
      </c>
      <c r="T75" s="12">
        <f t="shared" si="7"/>
        <v>609.42056074766344</v>
      </c>
    </row>
  </sheetData>
  <mergeCells count="7">
    <mergeCell ref="U2:V2"/>
    <mergeCell ref="M2:N2"/>
    <mergeCell ref="I2:J2"/>
    <mergeCell ref="K2:L2"/>
    <mergeCell ref="O2:P2"/>
    <mergeCell ref="Q2:R2"/>
    <mergeCell ref="S2:T2"/>
  </mergeCells>
  <phoneticPr fontId="3" type="noConversion"/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workbookViewId="0">
      <selection activeCell="E15" sqref="E15"/>
    </sheetView>
  </sheetViews>
  <sheetFormatPr defaultColWidth="9" defaultRowHeight="15"/>
  <cols>
    <col min="1" max="1" width="15.7109375" style="1" bestFit="1" customWidth="1"/>
    <col min="2" max="2" width="19.140625" style="1" customWidth="1"/>
    <col min="3" max="4" width="12.42578125" style="1" bestFit="1" customWidth="1"/>
    <col min="5" max="5" width="16.7109375" style="1" customWidth="1"/>
    <col min="6" max="16384" width="9" style="1"/>
  </cols>
  <sheetData>
    <row r="1" spans="1:22">
      <c r="A1" s="1" t="s">
        <v>0</v>
      </c>
      <c r="B1" s="1" t="s">
        <v>1</v>
      </c>
    </row>
    <row r="2" spans="1:22" ht="15.75" thickBot="1">
      <c r="I2" s="54" t="s">
        <v>16</v>
      </c>
      <c r="J2" s="54"/>
      <c r="K2" s="54" t="s">
        <v>17</v>
      </c>
      <c r="L2" s="54"/>
      <c r="M2" s="54" t="s">
        <v>4</v>
      </c>
      <c r="N2" s="54"/>
      <c r="O2" s="54" t="s">
        <v>14</v>
      </c>
      <c r="P2" s="54"/>
      <c r="Q2" s="54" t="s">
        <v>15</v>
      </c>
      <c r="R2" s="54"/>
      <c r="S2" s="54" t="s">
        <v>18</v>
      </c>
      <c r="T2" s="54"/>
      <c r="U2" s="54" t="s">
        <v>20</v>
      </c>
      <c r="V2" s="54"/>
    </row>
    <row r="3" spans="1:22" ht="15.75" thickBot="1">
      <c r="A3" s="2"/>
      <c r="B3" s="3">
        <v>1</v>
      </c>
      <c r="C3" s="3">
        <v>2</v>
      </c>
      <c r="D3" s="3">
        <v>3</v>
      </c>
      <c r="E3" s="4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>$M$4+COS((ROW()-3)*5*PI()/180)*$B$15</f>
        <v>374.4097031423579</v>
      </c>
      <c r="T3" s="1">
        <f t="shared" ref="T3:T66" si="0">$N$4+SIN((ROW()-3)*5*PI()/180)*$B$15</f>
        <v>598.23076923076928</v>
      </c>
      <c r="U3" s="1">
        <v>0</v>
      </c>
      <c r="V3" s="1">
        <f>J4</f>
        <v>847</v>
      </c>
    </row>
    <row r="4" spans="1:22" ht="15.75" thickTop="1">
      <c r="A4" s="5" t="s">
        <v>2</v>
      </c>
      <c r="B4" s="33"/>
      <c r="C4" s="34"/>
      <c r="D4" s="34"/>
      <c r="E4" s="42"/>
      <c r="I4" s="1">
        <v>0</v>
      </c>
      <c r="J4" s="1">
        <f>B9</f>
        <v>847</v>
      </c>
      <c r="K4" s="9">
        <f>C9</f>
        <v>833</v>
      </c>
      <c r="L4" s="1">
        <v>0</v>
      </c>
      <c r="M4" s="1">
        <f>J4/(TAN(PI()/2-D18)+J4/K4)</f>
        <v>244.65734265734264</v>
      </c>
      <c r="N4" s="1">
        <f>M4*TAN(PI()/2-D18)</f>
        <v>598.23076923076928</v>
      </c>
      <c r="O4" s="1">
        <f>J4/(TAN(PI()/2-D19)+J4/K4)</f>
        <v>337.55321319448421</v>
      </c>
      <c r="P4" s="1">
        <f>O4*TAN(PI()/2-D19)</f>
        <v>503.77362355854973</v>
      </c>
      <c r="Q4" s="1">
        <f>J4/(TAN(PI()/2-D20)+J4/K4)</f>
        <v>133.83929989328166</v>
      </c>
      <c r="R4" s="1">
        <f>Q4*TAN(PI()/2-D20)</f>
        <v>710.91130010851191</v>
      </c>
      <c r="S4" s="1">
        <f t="shared" ref="S4:S66" si="1">$M$4+COS((ROW()-3)*5*PI()/180)*$B$15</f>
        <v>373.91595623740375</v>
      </c>
      <c r="T4" s="1">
        <f t="shared" si="0"/>
        <v>609.53943258210268</v>
      </c>
      <c r="U4" s="9">
        <f>K4</f>
        <v>833</v>
      </c>
      <c r="V4" s="1">
        <v>0</v>
      </c>
    </row>
    <row r="5" spans="1:22">
      <c r="A5" s="5" t="s">
        <v>3</v>
      </c>
      <c r="B5" s="35"/>
      <c r="C5" s="36"/>
      <c r="D5" s="36"/>
      <c r="E5" s="43"/>
      <c r="S5" s="1">
        <f t="shared" si="1"/>
        <v>372.43847323462052</v>
      </c>
      <c r="T5" s="1">
        <f t="shared" si="0"/>
        <v>620.7620301769748</v>
      </c>
    </row>
    <row r="6" spans="1:22">
      <c r="A6" s="5" t="s">
        <v>10</v>
      </c>
      <c r="B6" s="35">
        <v>101</v>
      </c>
      <c r="C6" s="36">
        <v>42</v>
      </c>
      <c r="D6" s="36">
        <v>142</v>
      </c>
      <c r="E6" s="10">
        <v>1</v>
      </c>
      <c r="S6" s="1">
        <f t="shared" si="1"/>
        <v>369.98849867178808</v>
      </c>
      <c r="T6" s="1">
        <f t="shared" si="0"/>
        <v>631.81315127129892</v>
      </c>
    </row>
    <row r="7" spans="1:22">
      <c r="A7" s="5" t="s">
        <v>25</v>
      </c>
      <c r="B7" s="37"/>
      <c r="C7" s="38"/>
      <c r="D7" s="38"/>
      <c r="E7" s="43"/>
      <c r="S7" s="1">
        <f t="shared" si="1"/>
        <v>366.58467833466455</v>
      </c>
      <c r="T7" s="1">
        <f t="shared" si="0"/>
        <v>642.60869016069807</v>
      </c>
    </row>
    <row r="8" spans="1:22" ht="15.75" thickBot="1">
      <c r="A8" s="6" t="s">
        <v>22</v>
      </c>
      <c r="B8" s="39">
        <v>847</v>
      </c>
      <c r="C8" s="40">
        <v>840</v>
      </c>
      <c r="D8" s="41"/>
      <c r="E8" s="44"/>
      <c r="S8" s="1">
        <f t="shared" si="1"/>
        <v>362.25291735129849</v>
      </c>
      <c r="T8" s="1">
        <f t="shared" si="0"/>
        <v>653.06648627569905</v>
      </c>
    </row>
    <row r="9" spans="1:22">
      <c r="A9" s="1" t="s">
        <v>13</v>
      </c>
      <c r="B9" s="1">
        <v>847</v>
      </c>
      <c r="C9" s="1">
        <v>833</v>
      </c>
      <c r="S9" s="1">
        <f t="shared" si="1"/>
        <v>357.02618303836203</v>
      </c>
      <c r="T9" s="1">
        <f t="shared" si="0"/>
        <v>663.10694947327693</v>
      </c>
    </row>
    <row r="10" spans="1:22">
      <c r="S10" s="1">
        <f t="shared" si="1"/>
        <v>350.9442539999651</v>
      </c>
      <c r="T10" s="1">
        <f t="shared" si="0"/>
        <v>672.65366576590066</v>
      </c>
    </row>
    <row r="11" spans="1:22">
      <c r="A11" s="1" t="s">
        <v>12</v>
      </c>
      <c r="B11" s="45">
        <v>19</v>
      </c>
      <c r="C11" s="45">
        <v>11</v>
      </c>
      <c r="S11" s="1">
        <f t="shared" si="1"/>
        <v>344.05341738845902</v>
      </c>
      <c r="T11" s="1">
        <f t="shared" si="0"/>
        <v>681.63397887811846</v>
      </c>
    </row>
    <row r="12" spans="1:22">
      <c r="A12" s="1" t="s">
        <v>8</v>
      </c>
      <c r="B12" s="45">
        <v>150000</v>
      </c>
      <c r="C12" s="11" t="s">
        <v>21</v>
      </c>
      <c r="S12" s="1">
        <f t="shared" si="1"/>
        <v>336.40611663125839</v>
      </c>
      <c r="T12" s="1">
        <f t="shared" si="0"/>
        <v>689.979543204685</v>
      </c>
    </row>
    <row r="13" spans="1:22">
      <c r="A13" s="1" t="s">
        <v>6</v>
      </c>
      <c r="B13" s="1">
        <f>0.5*B6*C6*0.001*(B9*B9+C9*C9)/(B6+C6)</f>
        <v>20932.6087972028</v>
      </c>
      <c r="C13" s="11" t="s">
        <v>24</v>
      </c>
      <c r="S13" s="1">
        <f t="shared" si="1"/>
        <v>328.06055230469178</v>
      </c>
      <c r="T13" s="1">
        <f t="shared" si="0"/>
        <v>697.6268439618857</v>
      </c>
    </row>
    <row r="14" spans="1:22">
      <c r="A14" s="1" t="s">
        <v>5</v>
      </c>
      <c r="B14" s="1">
        <f>((B12+B13)*2*1000*(B6+C6)/D6/E6)^0.5</f>
        <v>18554.58754935718</v>
      </c>
      <c r="C14" s="11"/>
      <c r="S14" s="1">
        <f t="shared" si="1"/>
        <v>319.08023919247398</v>
      </c>
      <c r="T14" s="1">
        <f t="shared" si="0"/>
        <v>704.51768057339177</v>
      </c>
    </row>
    <row r="15" spans="1:22">
      <c r="A15" s="1" t="s">
        <v>7</v>
      </c>
      <c r="B15" s="1">
        <f>E6*B14/(D6+E6)</f>
        <v>129.75236048501526</v>
      </c>
      <c r="C15" s="11" t="s">
        <v>9</v>
      </c>
      <c r="S15" s="1">
        <f t="shared" si="1"/>
        <v>309.53352289985025</v>
      </c>
      <c r="T15" s="1">
        <f t="shared" si="0"/>
        <v>710.59960961178865</v>
      </c>
    </row>
    <row r="16" spans="1:22">
      <c r="A16" s="1" t="s">
        <v>11</v>
      </c>
      <c r="B16" s="1">
        <f>(B6^2*B9^2+C6^2*C9^2)^0.5/(B6+C6)</f>
        <v>646.32597701979319</v>
      </c>
      <c r="C16" s="11" t="s">
        <v>9</v>
      </c>
      <c r="S16" s="1">
        <f t="shared" si="1"/>
        <v>299.49305970227238</v>
      </c>
      <c r="T16" s="1">
        <f t="shared" si="0"/>
        <v>715.82634392472517</v>
      </c>
    </row>
    <row r="17" spans="1:20">
      <c r="A17" s="1" t="s">
        <v>23</v>
      </c>
      <c r="B17" s="1">
        <v>0.75</v>
      </c>
      <c r="C17" s="11"/>
      <c r="S17" s="1">
        <f t="shared" si="1"/>
        <v>289.0352635872714</v>
      </c>
      <c r="T17" s="1">
        <f t="shared" si="0"/>
        <v>720.15810490809122</v>
      </c>
    </row>
    <row r="18" spans="1:20">
      <c r="A18" s="1" t="s">
        <v>4</v>
      </c>
      <c r="B18" s="8" t="str">
        <f>TEXT(ATAN(C6*C9/B6/B9)*180/PI()+$B$17,"0.00")&amp;"°"</f>
        <v>22.99°</v>
      </c>
      <c r="C18" s="11" t="s">
        <v>19</v>
      </c>
      <c r="D18" s="1">
        <f>ATAN(C6*C9/B6/B9)</f>
        <v>0.38821357039242754</v>
      </c>
      <c r="S18" s="1">
        <f t="shared" si="1"/>
        <v>278.23972469787236</v>
      </c>
      <c r="T18" s="1">
        <f t="shared" si="0"/>
        <v>723.56192524521475</v>
      </c>
    </row>
    <row r="19" spans="1:20">
      <c r="A19" s="1" t="s">
        <v>14</v>
      </c>
      <c r="B19" s="7" t="str">
        <f>TEXT(ATAN(C6*C9/B6/B9)*180/PI()+$B$17+ASIN(B15/B16)*180/PI(),"0.00")&amp;"°"</f>
        <v>34.57°</v>
      </c>
      <c r="C19" s="11" t="s">
        <v>19</v>
      </c>
      <c r="D19" s="1">
        <f>ATAN(C6*C9/B6/B9)+ASIN(B15/B16)</f>
        <v>0.59034083960789174</v>
      </c>
      <c r="S19" s="1">
        <f t="shared" si="1"/>
        <v>267.18860360354819</v>
      </c>
      <c r="T19" s="1">
        <f t="shared" si="0"/>
        <v>726.01189980804713</v>
      </c>
    </row>
    <row r="20" spans="1:20">
      <c r="A20" s="1" t="s">
        <v>15</v>
      </c>
      <c r="B20" s="7" t="str">
        <f>TEXT(ATAN(C6*C9/B6/B9)*180/PI()+$B$17-ASIN(B15/B16)*180/PI(),"0.00")&amp;"°"</f>
        <v>11.41°</v>
      </c>
      <c r="C20" s="11" t="s">
        <v>19</v>
      </c>
      <c r="D20" s="1">
        <f>ATAN(C6*C9/B6/B9)-ASIN(B15/B16)</f>
        <v>0.18608630117696331</v>
      </c>
      <c r="S20" s="1">
        <f t="shared" si="1"/>
        <v>255.96600600867603</v>
      </c>
      <c r="T20" s="1">
        <f t="shared" si="0"/>
        <v>727.48938281083042</v>
      </c>
    </row>
    <row r="21" spans="1:20">
      <c r="S21" s="1">
        <f t="shared" si="1"/>
        <v>244.65734265734264</v>
      </c>
      <c r="T21" s="1">
        <f t="shared" si="0"/>
        <v>727.98312971578457</v>
      </c>
    </row>
    <row r="22" spans="1:20">
      <c r="S22" s="1">
        <f t="shared" si="1"/>
        <v>233.34867930600925</v>
      </c>
      <c r="T22" s="1">
        <f t="shared" si="0"/>
        <v>727.48938281083042</v>
      </c>
    </row>
    <row r="23" spans="1:20">
      <c r="S23" s="1">
        <f t="shared" si="1"/>
        <v>222.12608171113712</v>
      </c>
      <c r="T23" s="1">
        <f t="shared" si="0"/>
        <v>726.01189980804713</v>
      </c>
    </row>
    <row r="24" spans="1:20">
      <c r="S24" s="1">
        <f t="shared" si="1"/>
        <v>211.07496061681292</v>
      </c>
      <c r="T24" s="1">
        <f t="shared" si="0"/>
        <v>723.56192524521475</v>
      </c>
    </row>
    <row r="25" spans="1:20">
      <c r="S25" s="1">
        <f t="shared" si="1"/>
        <v>200.27942172741388</v>
      </c>
      <c r="T25" s="1">
        <f t="shared" si="0"/>
        <v>720.15810490809122</v>
      </c>
    </row>
    <row r="26" spans="1:20">
      <c r="S26" s="1">
        <f t="shared" si="1"/>
        <v>189.8216256124129</v>
      </c>
      <c r="T26" s="1">
        <f t="shared" si="0"/>
        <v>715.82634392472517</v>
      </c>
    </row>
    <row r="27" spans="1:20">
      <c r="S27" s="1">
        <f t="shared" si="1"/>
        <v>179.78116241483502</v>
      </c>
      <c r="T27" s="1">
        <f t="shared" si="0"/>
        <v>710.59960961178865</v>
      </c>
    </row>
    <row r="28" spans="1:20">
      <c r="S28" s="1">
        <f t="shared" si="1"/>
        <v>170.23444612221132</v>
      </c>
      <c r="T28" s="1">
        <f t="shared" si="0"/>
        <v>704.51768057339177</v>
      </c>
    </row>
    <row r="29" spans="1:20">
      <c r="S29" s="1">
        <f t="shared" si="1"/>
        <v>161.2541330099935</v>
      </c>
      <c r="T29" s="1">
        <f t="shared" si="0"/>
        <v>697.6268439618857</v>
      </c>
    </row>
    <row r="30" spans="1:20">
      <c r="S30" s="1">
        <f t="shared" si="1"/>
        <v>152.90856868342692</v>
      </c>
      <c r="T30" s="1">
        <f t="shared" si="0"/>
        <v>689.979543204685</v>
      </c>
    </row>
    <row r="31" spans="1:20">
      <c r="S31" s="1">
        <f t="shared" si="1"/>
        <v>145.26126792622625</v>
      </c>
      <c r="T31" s="1">
        <f t="shared" si="0"/>
        <v>681.63397887811846</v>
      </c>
    </row>
    <row r="32" spans="1:20">
      <c r="S32" s="1">
        <f t="shared" si="1"/>
        <v>138.37043131472024</v>
      </c>
      <c r="T32" s="1">
        <f t="shared" si="0"/>
        <v>672.65366576590066</v>
      </c>
    </row>
    <row r="33" spans="1:20">
      <c r="S33" s="1">
        <f t="shared" si="1"/>
        <v>132.28850227632324</v>
      </c>
      <c r="T33" s="1">
        <f t="shared" si="0"/>
        <v>663.10694947327693</v>
      </c>
    </row>
    <row r="34" spans="1:20">
      <c r="S34" s="1">
        <f t="shared" si="1"/>
        <v>127.0617679633868</v>
      </c>
      <c r="T34" s="1">
        <f t="shared" si="0"/>
        <v>653.06648627569905</v>
      </c>
    </row>
    <row r="35" spans="1:20">
      <c r="S35" s="1">
        <f t="shared" si="1"/>
        <v>122.73000698002072</v>
      </c>
      <c r="T35" s="1">
        <f t="shared" si="0"/>
        <v>642.60869016069807</v>
      </c>
    </row>
    <row r="36" spans="1:20">
      <c r="A36" s="45" t="s">
        <v>26</v>
      </c>
      <c r="B36" s="45">
        <f>B37-1000000/480+B39/2-(B40/2-B41-B42)-0.0155*1000000/(B43*(B44+SQRT(B44*B44+4))/(B44+SQRT(B44*B44+8)))</f>
        <v>-212.29872395787916</v>
      </c>
      <c r="E36" s="1" t="s">
        <v>35</v>
      </c>
      <c r="F36" s="1" t="s">
        <v>12</v>
      </c>
      <c r="G36" s="1" t="s">
        <v>13</v>
      </c>
      <c r="I36" s="1" t="s">
        <v>13</v>
      </c>
      <c r="J36" s="1" t="s">
        <v>32</v>
      </c>
      <c r="K36" s="1" t="s">
        <v>35</v>
      </c>
      <c r="S36" s="1">
        <f t="shared" si="1"/>
        <v>119.32618664289723</v>
      </c>
      <c r="T36" s="1">
        <f t="shared" si="0"/>
        <v>631.81315127129903</v>
      </c>
    </row>
    <row r="37" spans="1:20">
      <c r="A37" s="45" t="s">
        <v>27</v>
      </c>
      <c r="B37" s="45">
        <v>1864</v>
      </c>
      <c r="E37" s="1">
        <v>847</v>
      </c>
      <c r="F37" s="1">
        <v>19</v>
      </c>
      <c r="G37" s="1">
        <f>E37*(F37+SQRT(F37*F37+4))/(F37+SQRT(F37*F37+8))</f>
        <v>844.68574037723852</v>
      </c>
      <c r="I37" s="1">
        <v>840</v>
      </c>
      <c r="J37" s="1">
        <v>11</v>
      </c>
      <c r="K37" s="1">
        <f>I37/((J37+SQRT(J37*J37+4))/(J37+SQRT(J37*J37+8)))</f>
        <v>846.72129084592461</v>
      </c>
      <c r="S37" s="1">
        <f t="shared" si="1"/>
        <v>116.87621208006475</v>
      </c>
      <c r="T37" s="1">
        <f t="shared" si="0"/>
        <v>620.7620301769748</v>
      </c>
    </row>
    <row r="38" spans="1:20">
      <c r="A38" s="45" t="s">
        <v>28</v>
      </c>
      <c r="B38" s="45">
        <v>480</v>
      </c>
      <c r="E38" s="1">
        <v>840</v>
      </c>
      <c r="F38" s="1">
        <v>11</v>
      </c>
      <c r="G38" s="1">
        <f>E38*(F38+SQRT(F38*F38+4))/(F38+SQRT(F38*F38+8))</f>
        <v>833.33206289765542</v>
      </c>
      <c r="I38" s="1">
        <v>890</v>
      </c>
      <c r="J38" s="1">
        <v>7</v>
      </c>
      <c r="K38" s="1">
        <f t="shared" ref="K38:K48" si="2">I38/((J38+SQRT(J38*J38+4))/(J38+SQRT(J38*J38+8)))</f>
        <v>906.81043407876757</v>
      </c>
      <c r="S38" s="1">
        <f t="shared" si="1"/>
        <v>115.39872907728153</v>
      </c>
      <c r="T38" s="1">
        <f t="shared" si="0"/>
        <v>609.53943258210279</v>
      </c>
    </row>
    <row r="39" spans="1:20">
      <c r="A39" s="45" t="s">
        <v>34</v>
      </c>
      <c r="B39" s="45">
        <v>35</v>
      </c>
      <c r="I39" s="1">
        <v>890</v>
      </c>
      <c r="J39" s="1">
        <v>9</v>
      </c>
      <c r="K39" s="1">
        <f t="shared" si="2"/>
        <v>900.47494030309372</v>
      </c>
      <c r="S39" s="1">
        <f t="shared" si="1"/>
        <v>114.90498217232738</v>
      </c>
      <c r="T39" s="1">
        <f t="shared" si="0"/>
        <v>598.23076923076928</v>
      </c>
    </row>
    <row r="40" spans="1:20">
      <c r="A40" s="45" t="s">
        <v>33</v>
      </c>
      <c r="B40" s="45">
        <v>11.7</v>
      </c>
      <c r="I40" s="1">
        <v>715</v>
      </c>
      <c r="J40" s="1">
        <v>8.5</v>
      </c>
      <c r="K40" s="1">
        <f t="shared" si="2"/>
        <v>724.38189375987486</v>
      </c>
      <c r="S40" s="1">
        <f t="shared" si="1"/>
        <v>115.39872907728153</v>
      </c>
      <c r="T40" s="1">
        <f t="shared" si="0"/>
        <v>586.92210587943589</v>
      </c>
    </row>
    <row r="41" spans="1:20">
      <c r="A41" s="45" t="s">
        <v>29</v>
      </c>
      <c r="B41" s="45">
        <v>0.15</v>
      </c>
      <c r="I41" s="1">
        <v>880</v>
      </c>
      <c r="J41" s="1">
        <v>10</v>
      </c>
      <c r="K41" s="1">
        <f t="shared" si="2"/>
        <v>888.46388700458874</v>
      </c>
      <c r="S41" s="1">
        <f t="shared" si="1"/>
        <v>116.87621208006475</v>
      </c>
      <c r="T41" s="1">
        <f t="shared" si="0"/>
        <v>575.69950828456376</v>
      </c>
    </row>
    <row r="42" spans="1:20">
      <c r="A42" s="45" t="s">
        <v>30</v>
      </c>
      <c r="B42" s="45">
        <v>7.1</v>
      </c>
      <c r="I42" s="1">
        <v>1740</v>
      </c>
      <c r="J42" s="1">
        <v>8.1</v>
      </c>
      <c r="K42" s="1">
        <f t="shared" si="2"/>
        <v>1765.0119079187446</v>
      </c>
      <c r="S42" s="1">
        <f t="shared" si="1"/>
        <v>119.3261866428972</v>
      </c>
      <c r="T42" s="1">
        <f t="shared" si="0"/>
        <v>564.64838719023965</v>
      </c>
    </row>
    <row r="43" spans="1:20">
      <c r="A43" s="45" t="s">
        <v>31</v>
      </c>
      <c r="B43" s="45">
        <v>1324.4286709999999</v>
      </c>
      <c r="I43" s="1">
        <v>982</v>
      </c>
      <c r="J43" s="1">
        <v>5.6</v>
      </c>
      <c r="K43" s="1">
        <f t="shared" si="2"/>
        <v>1009.8385210671111</v>
      </c>
      <c r="S43" s="1">
        <f t="shared" si="1"/>
        <v>122.7300069800207</v>
      </c>
      <c r="T43" s="1">
        <f t="shared" si="0"/>
        <v>553.85284830084049</v>
      </c>
    </row>
    <row r="44" spans="1:20">
      <c r="A44" s="45" t="s">
        <v>32</v>
      </c>
      <c r="B44" s="45">
        <v>8.2571428569999998</v>
      </c>
      <c r="I44" s="1">
        <v>778</v>
      </c>
      <c r="J44" s="1">
        <v>15.6</v>
      </c>
      <c r="K44" s="1">
        <f t="shared" si="2"/>
        <v>781.1453676825239</v>
      </c>
      <c r="S44" s="1">
        <f t="shared" si="1"/>
        <v>127.06176796338679</v>
      </c>
      <c r="T44" s="1">
        <f t="shared" si="0"/>
        <v>543.39505218583952</v>
      </c>
    </row>
    <row r="45" spans="1:20">
      <c r="F45"/>
      <c r="I45" s="1">
        <v>1735</v>
      </c>
      <c r="J45" s="1">
        <v>19</v>
      </c>
      <c r="K45" s="1">
        <f t="shared" si="2"/>
        <v>1739.7535317024506</v>
      </c>
      <c r="S45" s="1">
        <f t="shared" si="1"/>
        <v>132.28850227632324</v>
      </c>
      <c r="T45" s="1">
        <f t="shared" si="0"/>
        <v>533.35458898826164</v>
      </c>
    </row>
    <row r="46" spans="1:20">
      <c r="I46" s="1">
        <v>2644</v>
      </c>
      <c r="J46" s="1">
        <v>3.3</v>
      </c>
      <c r="K46" s="1">
        <f t="shared" si="2"/>
        <v>2824.0546211535025</v>
      </c>
      <c r="S46" s="1">
        <f t="shared" si="1"/>
        <v>138.37043131472018</v>
      </c>
      <c r="T46" s="1">
        <f t="shared" si="0"/>
        <v>523.80787269563803</v>
      </c>
    </row>
    <row r="47" spans="1:20">
      <c r="I47" s="1">
        <v>1581</v>
      </c>
      <c r="J47" s="1">
        <v>2.5</v>
      </c>
      <c r="K47" s="1">
        <f t="shared" si="2"/>
        <v>1739.9870271543989</v>
      </c>
      <c r="S47" s="1">
        <f t="shared" si="1"/>
        <v>145.26126792622625</v>
      </c>
      <c r="T47" s="1">
        <f t="shared" si="0"/>
        <v>514.82755958342011</v>
      </c>
    </row>
    <row r="48" spans="1:20">
      <c r="I48" s="1">
        <v>777</v>
      </c>
      <c r="J48" s="1">
        <v>9.5</v>
      </c>
      <c r="K48" s="1">
        <f t="shared" si="2"/>
        <v>785.24681831687246</v>
      </c>
      <c r="S48" s="1">
        <f t="shared" si="1"/>
        <v>152.90856868342689</v>
      </c>
      <c r="T48" s="1">
        <f t="shared" si="0"/>
        <v>506.48199525685357</v>
      </c>
    </row>
    <row r="49" spans="5:20">
      <c r="S49" s="1">
        <f t="shared" si="1"/>
        <v>161.2541330099935</v>
      </c>
      <c r="T49" s="1">
        <f t="shared" si="0"/>
        <v>498.83469449965287</v>
      </c>
    </row>
    <row r="50" spans="5:20">
      <c r="S50" s="1">
        <f t="shared" si="1"/>
        <v>170.23444612221124</v>
      </c>
      <c r="T50" s="1">
        <f t="shared" si="0"/>
        <v>491.94385788814685</v>
      </c>
    </row>
    <row r="51" spans="5:20">
      <c r="E51"/>
      <c r="S51" s="1">
        <f t="shared" si="1"/>
        <v>179.78116241483497</v>
      </c>
      <c r="T51" s="1">
        <f t="shared" si="0"/>
        <v>485.86192884974992</v>
      </c>
    </row>
    <row r="52" spans="5:20">
      <c r="S52" s="1">
        <f t="shared" si="1"/>
        <v>189.82162561241282</v>
      </c>
      <c r="T52" s="1">
        <f t="shared" si="0"/>
        <v>480.63519453681346</v>
      </c>
    </row>
    <row r="53" spans="5:20">
      <c r="S53" s="1">
        <f t="shared" si="1"/>
        <v>200.27942172741379</v>
      </c>
      <c r="T53" s="1">
        <f t="shared" si="0"/>
        <v>476.30343355344735</v>
      </c>
    </row>
    <row r="54" spans="5:20">
      <c r="S54" s="1">
        <f t="shared" si="1"/>
        <v>211.07496061681297</v>
      </c>
      <c r="T54" s="1">
        <f t="shared" si="0"/>
        <v>472.89961321632387</v>
      </c>
    </row>
    <row r="55" spans="5:20">
      <c r="S55" s="1">
        <f t="shared" si="1"/>
        <v>222.12608171113712</v>
      </c>
      <c r="T55" s="1">
        <f t="shared" si="0"/>
        <v>470.44963865349138</v>
      </c>
    </row>
    <row r="56" spans="5:20">
      <c r="S56" s="1">
        <f t="shared" si="1"/>
        <v>233.34867930600922</v>
      </c>
      <c r="T56" s="1">
        <f t="shared" si="0"/>
        <v>468.97215565070815</v>
      </c>
    </row>
    <row r="57" spans="5:20">
      <c r="S57" s="1">
        <f t="shared" si="1"/>
        <v>244.65734265734261</v>
      </c>
      <c r="T57" s="1">
        <f t="shared" si="0"/>
        <v>468.478408745754</v>
      </c>
    </row>
    <row r="58" spans="5:20">
      <c r="S58" s="1">
        <f t="shared" si="1"/>
        <v>255.966006008676</v>
      </c>
      <c r="T58" s="1">
        <f t="shared" si="0"/>
        <v>468.97215565070815</v>
      </c>
    </row>
    <row r="59" spans="5:20">
      <c r="S59" s="1">
        <f t="shared" si="1"/>
        <v>267.18860360354813</v>
      </c>
      <c r="T59" s="1">
        <f t="shared" si="0"/>
        <v>470.44963865349138</v>
      </c>
    </row>
    <row r="60" spans="5:20">
      <c r="S60" s="1">
        <f t="shared" si="1"/>
        <v>278.23972469787236</v>
      </c>
      <c r="T60" s="1">
        <f t="shared" si="0"/>
        <v>472.89961321632387</v>
      </c>
    </row>
    <row r="61" spans="5:20">
      <c r="E61"/>
      <c r="S61" s="1">
        <f t="shared" si="1"/>
        <v>289.03526358727129</v>
      </c>
      <c r="T61" s="1">
        <f t="shared" si="0"/>
        <v>476.30343355344735</v>
      </c>
    </row>
    <row r="62" spans="5:20">
      <c r="S62" s="1">
        <f t="shared" si="1"/>
        <v>299.49305970227243</v>
      </c>
      <c r="T62" s="1">
        <f t="shared" si="0"/>
        <v>480.63519453681346</v>
      </c>
    </row>
    <row r="63" spans="5:20">
      <c r="S63" s="1">
        <f t="shared" si="1"/>
        <v>309.53352289985025</v>
      </c>
      <c r="T63" s="1">
        <f t="shared" si="0"/>
        <v>485.86192884974992</v>
      </c>
    </row>
    <row r="64" spans="5:20">
      <c r="S64" s="1">
        <f t="shared" si="1"/>
        <v>319.08023919247398</v>
      </c>
      <c r="T64" s="1">
        <f t="shared" si="0"/>
        <v>491.94385788814685</v>
      </c>
    </row>
    <row r="65" spans="19:20">
      <c r="S65" s="1">
        <f t="shared" si="1"/>
        <v>328.06055230469178</v>
      </c>
      <c r="T65" s="1">
        <f t="shared" si="0"/>
        <v>498.83469449965287</v>
      </c>
    </row>
    <row r="66" spans="19:20">
      <c r="S66" s="1">
        <f t="shared" si="1"/>
        <v>336.40611663125833</v>
      </c>
      <c r="T66" s="1">
        <f t="shared" si="0"/>
        <v>506.48199525685357</v>
      </c>
    </row>
    <row r="67" spans="19:20">
      <c r="S67" s="1">
        <f t="shared" ref="S67:S75" si="3">$M$4+COS((ROW()-3)*5*PI()/180)*$B$15</f>
        <v>344.05341738845902</v>
      </c>
      <c r="T67" s="1">
        <f t="shared" ref="T67:T75" si="4">$N$4+SIN((ROW()-3)*5*PI()/180)*$B$15</f>
        <v>514.82755958342011</v>
      </c>
    </row>
    <row r="68" spans="19:20">
      <c r="S68" s="1">
        <f t="shared" si="3"/>
        <v>350.94425399996504</v>
      </c>
      <c r="T68" s="1">
        <f t="shared" si="4"/>
        <v>523.80787269563791</v>
      </c>
    </row>
    <row r="69" spans="19:20">
      <c r="S69" s="1">
        <f t="shared" si="3"/>
        <v>357.02618303836198</v>
      </c>
      <c r="T69" s="1">
        <f t="shared" si="4"/>
        <v>533.35458898826164</v>
      </c>
    </row>
    <row r="70" spans="19:20">
      <c r="S70" s="1">
        <f t="shared" si="3"/>
        <v>362.25291735129844</v>
      </c>
      <c r="T70" s="1">
        <f t="shared" si="4"/>
        <v>543.3950521858394</v>
      </c>
    </row>
    <row r="71" spans="19:20">
      <c r="S71" s="1">
        <f t="shared" si="3"/>
        <v>366.58467833466455</v>
      </c>
      <c r="T71" s="1">
        <f t="shared" si="4"/>
        <v>553.85284830084049</v>
      </c>
    </row>
    <row r="72" spans="19:20">
      <c r="S72" s="1">
        <f t="shared" si="3"/>
        <v>369.98849867178808</v>
      </c>
      <c r="T72" s="1">
        <f t="shared" si="4"/>
        <v>564.64838719023965</v>
      </c>
    </row>
    <row r="73" spans="19:20">
      <c r="S73" s="1">
        <f t="shared" si="3"/>
        <v>372.43847323462052</v>
      </c>
      <c r="T73" s="1">
        <f t="shared" si="4"/>
        <v>575.69950828456365</v>
      </c>
    </row>
    <row r="74" spans="19:20">
      <c r="S74" s="1">
        <f t="shared" si="3"/>
        <v>373.91595623740375</v>
      </c>
      <c r="T74" s="1">
        <f t="shared" si="4"/>
        <v>586.92210587943589</v>
      </c>
    </row>
    <row r="75" spans="19:20">
      <c r="S75" s="1">
        <f t="shared" si="3"/>
        <v>374.4097031423579</v>
      </c>
      <c r="T75" s="1">
        <f t="shared" si="4"/>
        <v>598.23076923076928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MethylNap+H</vt:lpstr>
      <vt:lpstr>NoTNap+H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ZhaoLong</dc:creator>
  <cp:lastModifiedBy>xbdatapc@outlook.com</cp:lastModifiedBy>
  <cp:lastPrinted>2022-12-08T00:04:05Z</cp:lastPrinted>
  <dcterms:created xsi:type="dcterms:W3CDTF">2016-10-19T20:03:07Z</dcterms:created>
  <dcterms:modified xsi:type="dcterms:W3CDTF">2023-05-18T04:33:32Z</dcterms:modified>
</cp:coreProperties>
</file>