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28440" windowHeight="12780" activeTab="1"/>
  </bookViews>
  <sheets>
    <sheet name="Actual Data" sheetId="1" r:id="rId1"/>
    <sheet name="Quantification" sheetId="6" r:id="rId2"/>
    <sheet name="Calib" sheetId="5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B28" i="6" l="1"/>
  <c r="B14" i="6" l="1"/>
  <c r="D27" i="1"/>
  <c r="D32" i="1"/>
  <c r="D33" i="1"/>
  <c r="D34" i="1"/>
  <c r="D35" i="1"/>
  <c r="D36" i="1"/>
  <c r="D6" i="1"/>
  <c r="D7" i="1" s="1"/>
  <c r="E5" i="1"/>
  <c r="E3" i="1"/>
  <c r="F27" i="6"/>
  <c r="B27" i="6"/>
  <c r="E8" i="1"/>
  <c r="D24" i="6"/>
  <c r="D23" i="6"/>
  <c r="C31" i="1"/>
  <c r="F22" i="6"/>
  <c r="E6" i="1" l="1"/>
  <c r="B5" i="6"/>
  <c r="B6" i="6" s="1"/>
  <c r="B10" i="6" s="1"/>
  <c r="B7" i="6"/>
  <c r="B23" i="6"/>
  <c r="B24" i="6" s="1"/>
  <c r="F21" i="6" s="1"/>
  <c r="B21" i="5"/>
  <c r="B19" i="5"/>
  <c r="B16" i="5"/>
  <c r="B20" i="5" s="1"/>
  <c r="B22" i="5" s="1"/>
  <c r="B14" i="5"/>
  <c r="B12" i="6" l="1"/>
  <c r="D18" i="1"/>
  <c r="B25" i="6"/>
  <c r="B9" i="6"/>
  <c r="E37" i="6" l="1"/>
  <c r="E35" i="6"/>
  <c r="B18" i="1"/>
  <c r="E39" i="6"/>
  <c r="B26" i="6"/>
  <c r="D25" i="6"/>
  <c r="D26" i="6" s="1"/>
  <c r="B11" i="6"/>
  <c r="E22" i="1" l="1"/>
  <c r="E26" i="1"/>
  <c r="E23" i="1"/>
  <c r="E27" i="1"/>
  <c r="E24" i="1"/>
  <c r="E21" i="1"/>
  <c r="F21" i="1" s="1"/>
  <c r="E25" i="1"/>
  <c r="D27" i="6"/>
  <c r="F26" i="6"/>
  <c r="F28" i="6" s="1"/>
  <c r="G28" i="6" s="1"/>
  <c r="F22" i="1" l="1"/>
  <c r="F23" i="1" s="1"/>
  <c r="F24" i="1" s="1"/>
  <c r="F25" i="1" s="1"/>
  <c r="F26" i="1" s="1"/>
  <c r="B29" i="6"/>
  <c r="B30" i="6"/>
  <c r="D28" i="6" l="1"/>
  <c r="D29" i="6" l="1"/>
  <c r="D30" i="6" l="1"/>
  <c r="L15" i="1" l="1"/>
  <c r="J15" i="1" l="1"/>
  <c r="H15" i="1" l="1"/>
  <c r="F15" i="1"/>
  <c r="D15" i="1"/>
  <c r="B15" i="1"/>
  <c r="B6" i="1" l="1"/>
  <c r="B7" i="1" l="1"/>
  <c r="B10" i="1" l="1"/>
  <c r="D10" i="1" l="1"/>
  <c r="E10" i="1" s="1"/>
  <c r="E7" i="1"/>
  <c r="F16" i="1"/>
  <c r="B16" i="1"/>
  <c r="J16" i="1"/>
  <c r="H16" i="1"/>
  <c r="L16" i="1"/>
  <c r="D16" i="1"/>
  <c r="C21" i="1" l="1"/>
  <c r="B13" i="6"/>
  <c r="B15" i="6" l="1"/>
  <c r="B16" i="6"/>
  <c r="D31" i="1"/>
  <c r="E31" i="1" s="1"/>
  <c r="D21" i="1"/>
  <c r="C36" i="6" l="1"/>
  <c r="E36" i="6" s="1"/>
  <c r="C22" i="1"/>
  <c r="E32" i="1"/>
  <c r="E36" i="1"/>
  <c r="C26" i="1"/>
  <c r="C40" i="6"/>
  <c r="E40" i="6" s="1"/>
  <c r="F31" i="1"/>
  <c r="E35" i="1"/>
  <c r="C25" i="1"/>
  <c r="E34" i="1"/>
  <c r="C24" i="1"/>
  <c r="C38" i="6"/>
  <c r="E38" i="6" s="1"/>
  <c r="E33" i="1"/>
  <c r="C23" i="1"/>
  <c r="D26" i="1" l="1"/>
  <c r="D24" i="1"/>
  <c r="D23" i="1"/>
  <c r="D25" i="1"/>
  <c r="D22" i="1"/>
  <c r="F33" i="1" l="1"/>
  <c r="F32" i="1"/>
  <c r="D38" i="6"/>
  <c r="F38" i="6" s="1"/>
  <c r="D36" i="6"/>
  <c r="F36" i="1"/>
  <c r="D40" i="6"/>
  <c r="F40" i="6" s="1"/>
  <c r="F35" i="1"/>
  <c r="F34" i="1"/>
  <c r="F36" i="6" l="1"/>
  <c r="D37" i="6"/>
  <c r="F37" i="6" s="1"/>
  <c r="D39" i="6"/>
  <c r="F39" i="6" s="1"/>
  <c r="D35" i="6"/>
  <c r="F35" i="6" s="1"/>
</calcChain>
</file>

<file path=xl/sharedStrings.xml><?xml version="1.0" encoding="utf-8"?>
<sst xmlns="http://schemas.openxmlformats.org/spreadsheetml/2006/main" count="119" uniqueCount="91">
  <si>
    <t>C</t>
  </si>
  <si>
    <t>molec/C</t>
  </si>
  <si>
    <t>molecules/s</t>
  </si>
  <si>
    <t>Av#</t>
  </si>
  <si>
    <t>Leak Rate</t>
  </si>
  <si>
    <t>Gas Const</t>
  </si>
  <si>
    <t>Temp</t>
  </si>
  <si>
    <t>TorrL/s</t>
  </si>
  <si>
    <t>TorrL/molK</t>
  </si>
  <si>
    <t>K</t>
  </si>
  <si>
    <t>mol/s</t>
  </si>
  <si>
    <t>n</t>
  </si>
  <si>
    <t>Integrated Signal</t>
  </si>
  <si>
    <t>k (new)</t>
  </si>
  <si>
    <t>D2 current (new)</t>
  </si>
  <si>
    <t>A</t>
  </si>
  <si>
    <t>D2 entering chamber</t>
  </si>
  <si>
    <t>D2 molecules</t>
  </si>
  <si>
    <t>TPD</t>
  </si>
  <si>
    <t>10 K</t>
  </si>
  <si>
    <t>40 K</t>
  </si>
  <si>
    <t xml:space="preserve">80 K </t>
  </si>
  <si>
    <t>120 K</t>
  </si>
  <si>
    <t>60 s / K</t>
  </si>
  <si>
    <t>AK</t>
  </si>
  <si>
    <t xml:space="preserve">200 K </t>
  </si>
  <si>
    <t>Temp (K)</t>
  </si>
  <si>
    <t># Molec</t>
  </si>
  <si>
    <t xml:space="preserve"> </t>
  </si>
  <si>
    <t>250 K</t>
  </si>
  <si>
    <t>Constants</t>
  </si>
  <si>
    <t>Av</t>
  </si>
  <si>
    <t>mol^-1</t>
  </si>
  <si>
    <t>R</t>
  </si>
  <si>
    <t>charge proton</t>
  </si>
  <si>
    <t>D2, 3000 V, 1 s dwell</t>
  </si>
  <si>
    <t>Area</t>
  </si>
  <si>
    <t>Mean</t>
  </si>
  <si>
    <t>SD</t>
  </si>
  <si>
    <t>N</t>
  </si>
  <si>
    <t>SEM</t>
  </si>
  <si>
    <t>Leak rate (Q)</t>
  </si>
  <si>
    <t>dQ</t>
  </si>
  <si>
    <t>T</t>
  </si>
  <si>
    <t>dT</t>
  </si>
  <si>
    <t>Molecules</t>
  </si>
  <si>
    <t>error</t>
  </si>
  <si>
    <t>Proportionality (k)</t>
  </si>
  <si>
    <t>error prop</t>
  </si>
  <si>
    <t>Efficiency</t>
  </si>
  <si>
    <t>atoms</t>
  </si>
  <si>
    <t>18O</t>
  </si>
  <si>
    <t>O atoms</t>
  </si>
  <si>
    <t>SiO4 units</t>
  </si>
  <si>
    <t>g</t>
  </si>
  <si>
    <t>Mass</t>
  </si>
  <si>
    <t>cm^3</t>
  </si>
  <si>
    <t>Volume</t>
  </si>
  <si>
    <t>cm</t>
  </si>
  <si>
    <t>Depth</t>
  </si>
  <si>
    <t>cm2</t>
  </si>
  <si>
    <t>g/mol</t>
  </si>
  <si>
    <t>MM</t>
  </si>
  <si>
    <t>g/cm3</t>
  </si>
  <si>
    <t>Density</t>
  </si>
  <si>
    <t>D2 formed</t>
  </si>
  <si>
    <t>D nuclei</t>
  </si>
  <si>
    <t>Fluence</t>
  </si>
  <si>
    <t>Time (s)</t>
  </si>
  <si>
    <t>Flux (ions/s)</t>
  </si>
  <si>
    <t>Current</t>
  </si>
  <si>
    <t>200 K</t>
  </si>
  <si>
    <t>y0</t>
  </si>
  <si>
    <t>A1</t>
  </si>
  <si>
    <t>t1</t>
  </si>
  <si>
    <t>k</t>
  </si>
  <si>
    <t>tau</t>
  </si>
  <si>
    <t>r^2</t>
  </si>
  <si>
    <t xml:space="preserve">Efficiency </t>
  </si>
  <si>
    <t>Using Ratios</t>
  </si>
  <si>
    <t>Error</t>
  </si>
  <si>
    <t>Units</t>
  </si>
  <si>
    <t>Value</t>
  </si>
  <si>
    <t>molec</t>
  </si>
  <si>
    <t>D2 (40 K)</t>
  </si>
  <si>
    <t>D2 (120 K)</t>
  </si>
  <si>
    <t>D2 (200 K)</t>
  </si>
  <si>
    <t>units</t>
  </si>
  <si>
    <t>value</t>
  </si>
  <si>
    <t>percent err</t>
  </si>
  <si>
    <t>D2+ 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</si>
</sst>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E+00"/>
    <numFmt numFmtId="165" formatCode="0E+00"/>
    <numFmt numFmtId="166" formatCode="0.000%"/>
    <numFmt numFmtId="167" formatCode="0.000E+00"/>
    <numFmt numFmtId="168" formatCode="0.000"/>
    <numFmt numFmtId="169" formatCode="0.0%"/>
    <numFmt numFmtId="170" formatCode="0.00000E+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3">
    <xf numFmtId="0" fontId="0" fillId="0" borderId="0" xfId="0"/>
    <xf numFmtId="11" fontId="0" fillId="0" borderId="0" xfId="0" applyNumberFormat="1"/>
    <xf numFmtId="14" fontId="0" fillId="0" borderId="0" xfId="0" applyNumberFormat="1"/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0" fontId="0" fillId="0" borderId="0" xfId="0" applyNumberFormat="1"/>
    <xf numFmtId="10" fontId="0" fillId="0" borderId="0" xfId="1" applyNumberFormat="1" applyFont="1"/>
    <xf numFmtId="164" fontId="0" fillId="0" borderId="0" xfId="0" applyNumberFormat="1"/>
    <xf numFmtId="165" fontId="0" fillId="0" borderId="0" xfId="0" applyNumberFormat="1"/>
    <xf numFmtId="11" fontId="0" fillId="0" borderId="0" xfId="0" applyNumberFormat="1"/>
    <xf numFmtId="166" fontId="0" fillId="0" borderId="0" xfId="1" applyNumberFormat="1" applyFont="1"/>
    <xf numFmtId="167" fontId="0" fillId="0" borderId="0" xfId="0" applyNumberFormat="1"/>
    <xf numFmtId="0" fontId="0" fillId="0" borderId="0" xfId="0" applyNumberFormat="1"/>
    <xf numFmtId="2" fontId="0" fillId="0" borderId="0" xfId="0" applyNumberFormat="1"/>
    <xf numFmtId="168" fontId="0" fillId="0" borderId="0" xfId="0" applyNumberFormat="1"/>
    <xf numFmtId="11" fontId="0" fillId="0" borderId="0" xfId="1" applyNumberFormat="1" applyFont="1"/>
    <xf numFmtId="167" fontId="0" fillId="0" borderId="0" xfId="1" applyNumberFormat="1" applyFont="1"/>
    <xf numFmtId="170" fontId="0" fillId="0" borderId="0" xfId="0" applyNumberFormat="1"/>
    <xf numFmtId="11" fontId="0" fillId="0" borderId="2" xfId="0" applyNumberFormat="1" applyBorder="1"/>
    <xf numFmtId="0" fontId="0" fillId="0" borderId="2" xfId="0" applyBorder="1"/>
    <xf numFmtId="164" fontId="0" fillId="0" borderId="2" xfId="0" applyNumberFormat="1" applyBorder="1"/>
    <xf numFmtId="165" fontId="0" fillId="0" borderId="2" xfId="0" applyNumberFormat="1" applyBorder="1"/>
    <xf numFmtId="11" fontId="0" fillId="0" borderId="3" xfId="0" applyNumberFormat="1" applyBorder="1"/>
    <xf numFmtId="10" fontId="0" fillId="0" borderId="2" xfId="1" applyNumberFormat="1" applyFont="1" applyBorder="1"/>
    <xf numFmtId="166" fontId="0" fillId="0" borderId="2" xfId="1" applyNumberFormat="1" applyFont="1" applyBorder="1"/>
    <xf numFmtId="169" fontId="0" fillId="0" borderId="3" xfId="1" applyNumberFormat="1" applyFont="1" applyBorder="1"/>
    <xf numFmtId="0" fontId="0" fillId="0" borderId="1" xfId="0" applyBorder="1"/>
    <xf numFmtId="170" fontId="0" fillId="0" borderId="2" xfId="0" applyNumberFormat="1" applyBorder="1"/>
    <xf numFmtId="170" fontId="0" fillId="0" borderId="3" xfId="0" applyNumberFormat="1" applyBorder="1"/>
    <xf numFmtId="0" fontId="0" fillId="0" borderId="3" xfId="0" applyBorder="1"/>
    <xf numFmtId="0" fontId="2" fillId="0" borderId="1" xfId="0" applyFont="1" applyBorder="1"/>
    <xf numFmtId="0" fontId="0" fillId="0" borderId="0" xfId="0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'Actual Data'!$B$21:$B$27</c:f>
              <c:numCache>
                <c:formatCode>0</c:formatCode>
                <c:ptCount val="7"/>
                <c:pt idx="0">
                  <c:v>10</c:v>
                </c:pt>
                <c:pt idx="1">
                  <c:v>40</c:v>
                </c:pt>
                <c:pt idx="2">
                  <c:v>80</c:v>
                </c:pt>
                <c:pt idx="3">
                  <c:v>120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</c:numCache>
            </c:numRef>
          </c:xVal>
          <c:yVal>
            <c:numRef>
              <c:f>'Actual Data'!$C$21:$C$27</c:f>
              <c:numCache>
                <c:formatCode>0.00E+00</c:formatCode>
                <c:ptCount val="7"/>
                <c:pt idx="0">
                  <c:v>1.4918108092142068E+16</c:v>
                </c:pt>
                <c:pt idx="1">
                  <c:v>1.0153264367511892E+16</c:v>
                </c:pt>
                <c:pt idx="2">
                  <c:v>4535104860011189</c:v>
                </c:pt>
                <c:pt idx="3">
                  <c:v>1867747133136187</c:v>
                </c:pt>
                <c:pt idx="4">
                  <c:v>735462728942603.87</c:v>
                </c:pt>
                <c:pt idx="5">
                  <c:v>214820756526845.78</c:v>
                </c:pt>
                <c:pt idx="6" formatCode="General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635520"/>
        <c:axId val="139636096"/>
      </c:scatterChart>
      <c:valAx>
        <c:axId val="139635520"/>
        <c:scaling>
          <c:orientation val="minMax"/>
          <c:max val="300"/>
        </c:scaling>
        <c:delete val="0"/>
        <c:axPos val="b"/>
        <c:numFmt formatCode="0" sourceLinked="1"/>
        <c:majorTickMark val="out"/>
        <c:minorTickMark val="none"/>
        <c:tickLblPos val="nextTo"/>
        <c:crossAx val="139636096"/>
        <c:crosses val="autoZero"/>
        <c:crossBetween val="midCat"/>
      </c:valAx>
      <c:valAx>
        <c:axId val="139636096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3963552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28018372703413"/>
          <c:y val="2.8252405949256341E-2"/>
          <c:w val="0.6901235783027122"/>
          <c:h val="0.832619568387284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Quantification!$B$35:$B$40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80</c:v>
                </c:pt>
                <c:pt idx="3">
                  <c:v>120</c:v>
                </c:pt>
                <c:pt idx="4">
                  <c:v>200</c:v>
                </c:pt>
                <c:pt idx="5">
                  <c:v>250</c:v>
                </c:pt>
              </c:numCache>
            </c:numRef>
          </c:xVal>
          <c:yVal>
            <c:numRef>
              <c:f>Quantification!$C$35:$C$40</c:f>
              <c:numCache>
                <c:formatCode>0.00E+00</c:formatCode>
                <c:ptCount val="6"/>
                <c:pt idx="0">
                  <c:v>1.916E+16</c:v>
                </c:pt>
                <c:pt idx="1">
                  <c:v>1.1876015645378558E+16</c:v>
                </c:pt>
                <c:pt idx="2">
                  <c:v>6413000000000000</c:v>
                </c:pt>
                <c:pt idx="3">
                  <c:v>3384942860802854</c:v>
                </c:pt>
                <c:pt idx="4">
                  <c:v>1442000000000000</c:v>
                </c:pt>
                <c:pt idx="5">
                  <c:v>1006454333785179.1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640128"/>
        <c:axId val="152086784"/>
      </c:scatterChart>
      <c:valAx>
        <c:axId val="139640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2086784"/>
        <c:crosses val="autoZero"/>
        <c:crossBetween val="midCat"/>
      </c:valAx>
      <c:valAx>
        <c:axId val="152086784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396401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347662</xdr:colOff>
      <xdr:row>20</xdr:row>
      <xdr:rowOff>138112</xdr:rowOff>
    </xdr:from>
    <xdr:to>
      <xdr:col>14</xdr:col>
      <xdr:colOff>538162</xdr:colOff>
      <xdr:row>35</xdr:row>
      <xdr:rowOff>23812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300037</xdr:colOff>
      <xdr:row>2</xdr:row>
      <xdr:rowOff>180975</xdr:rowOff>
    </xdr:from>
    <xdr:to>
      <xdr:col>16</xdr:col>
      <xdr:colOff>604837</xdr:colOff>
      <xdr:row>17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2%20Quantifica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MS"/>
      <sheetName val="Calib"/>
      <sheetName val="Sheet3"/>
    </sheetNames>
    <sheetDataSet>
      <sheetData sheetId="0"/>
      <sheetData sheetId="1">
        <row r="4">
          <cell r="B4">
            <v>1.602E-19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>
      <selection activeCell="E21" sqref="E21"/>
    </sheetView>
  </sheetViews>
  <sheetFormatPr defaultRowHeight="15" x14ac:dyDescent="0.25"/>
  <cols>
    <col min="1" max="1" width="19.42578125" customWidth="1"/>
    <col min="2" max="2" width="12.7109375" customWidth="1"/>
    <col min="3" max="3" width="12" customWidth="1"/>
    <col min="4" max="4" width="10.5703125" customWidth="1"/>
    <col min="5" max="5" width="9.7109375" bestFit="1" customWidth="1"/>
    <col min="6" max="6" width="11.28515625" customWidth="1"/>
    <col min="7" max="7" width="11.28515625" bestFit="1" customWidth="1"/>
    <col min="14" max="14" width="10.85546875" customWidth="1"/>
  </cols>
  <sheetData>
    <row r="1" spans="1:16" x14ac:dyDescent="0.25">
      <c r="B1" s="31" t="s">
        <v>88</v>
      </c>
      <c r="C1" s="31" t="s">
        <v>87</v>
      </c>
      <c r="D1" s="31" t="s">
        <v>46</v>
      </c>
      <c r="E1" s="27" t="s">
        <v>89</v>
      </c>
    </row>
    <row r="2" spans="1:16" x14ac:dyDescent="0.25">
      <c r="A2" t="s">
        <v>3</v>
      </c>
      <c r="B2" s="19">
        <v>6.0220000000000003E+23</v>
      </c>
      <c r="C2" s="20"/>
      <c r="D2" s="20"/>
      <c r="E2" s="20"/>
    </row>
    <row r="3" spans="1:16" x14ac:dyDescent="0.25">
      <c r="A3" t="s">
        <v>4</v>
      </c>
      <c r="B3" s="19">
        <v>1.1200000000000001E-6</v>
      </c>
      <c r="C3" s="20" t="s">
        <v>7</v>
      </c>
      <c r="D3" s="19">
        <v>1.9999999999999999E-7</v>
      </c>
      <c r="E3" s="24">
        <f>D3/B3</f>
        <v>0.17857142857142855</v>
      </c>
    </row>
    <row r="4" spans="1:16" x14ac:dyDescent="0.25">
      <c r="A4" t="s">
        <v>5</v>
      </c>
      <c r="B4" s="20">
        <v>62.363999999999997</v>
      </c>
      <c r="C4" s="20" t="s">
        <v>8</v>
      </c>
      <c r="D4" s="20"/>
      <c r="E4" s="20"/>
      <c r="P4" s="10"/>
    </row>
    <row r="5" spans="1:16" x14ac:dyDescent="0.25">
      <c r="A5" t="s">
        <v>6</v>
      </c>
      <c r="B5" s="20">
        <v>297</v>
      </c>
      <c r="C5" s="20" t="s">
        <v>9</v>
      </c>
      <c r="D5" s="20">
        <v>1</v>
      </c>
      <c r="E5" s="25">
        <f>D5/B5</f>
        <v>3.3670033670033669E-3</v>
      </c>
    </row>
    <row r="6" spans="1:16" x14ac:dyDescent="0.25">
      <c r="A6" t="s">
        <v>11</v>
      </c>
      <c r="B6" s="19">
        <f>B3/(B4*B5)</f>
        <v>6.0468279312484312E-11</v>
      </c>
      <c r="C6" s="20" t="s">
        <v>10</v>
      </c>
      <c r="D6" s="21">
        <f>B6*SQRT((D3/B3)^2+(D5/B5)^2)</f>
        <v>1.0799826281572297E-11</v>
      </c>
      <c r="E6" s="24">
        <f>D6/B6</f>
        <v>0.17860316854332184</v>
      </c>
      <c r="G6" s="18"/>
    </row>
    <row r="7" spans="1:16" x14ac:dyDescent="0.25">
      <c r="A7" t="s">
        <v>16</v>
      </c>
      <c r="B7" s="28">
        <f>B6*B2</f>
        <v>36413997801978.055</v>
      </c>
      <c r="C7" s="20" t="s">
        <v>2</v>
      </c>
      <c r="D7" s="21">
        <f>D6*B7/B6</f>
        <v>6503655386762.8379</v>
      </c>
      <c r="E7" s="24">
        <f>D7/B7</f>
        <v>0.17860316854332184</v>
      </c>
    </row>
    <row r="8" spans="1:16" x14ac:dyDescent="0.25">
      <c r="A8" t="s">
        <v>14</v>
      </c>
      <c r="B8" s="28">
        <v>4.0699999999999998E-7</v>
      </c>
      <c r="C8" s="20" t="s">
        <v>15</v>
      </c>
      <c r="D8" s="22">
        <v>8.6030000000000002E-10</v>
      </c>
      <c r="E8" s="24">
        <f>D8/B8</f>
        <v>2.1137592137592141E-3</v>
      </c>
    </row>
    <row r="9" spans="1:16" x14ac:dyDescent="0.25">
      <c r="B9" s="20"/>
      <c r="C9" s="20"/>
      <c r="D9" s="20"/>
      <c r="E9" s="20"/>
    </row>
    <row r="10" spans="1:16" x14ac:dyDescent="0.25">
      <c r="A10" t="s">
        <v>13</v>
      </c>
      <c r="B10" s="29">
        <f>B7/B8</f>
        <v>8.946928206874216E+19</v>
      </c>
      <c r="C10" s="30" t="s">
        <v>1</v>
      </c>
      <c r="D10" s="23">
        <f>SQRT((D7/B7)^2+(D8/B8)^2)*B10</f>
        <v>1.5980616317676419E+19</v>
      </c>
      <c r="E10" s="26">
        <f>D10/B10</f>
        <v>0.17861567622056015</v>
      </c>
      <c r="F10" s="11"/>
    </row>
    <row r="12" spans="1:16" x14ac:dyDescent="0.25">
      <c r="B12" s="32" t="s">
        <v>18</v>
      </c>
      <c r="C12" s="32"/>
      <c r="D12" s="32"/>
      <c r="E12" s="32"/>
      <c r="F12" s="32"/>
      <c r="G12" s="32"/>
      <c r="H12" s="32"/>
      <c r="I12" s="32"/>
    </row>
    <row r="13" spans="1:16" x14ac:dyDescent="0.25">
      <c r="B13" s="2" t="s">
        <v>19</v>
      </c>
      <c r="D13" s="2" t="s">
        <v>20</v>
      </c>
      <c r="F13" t="s">
        <v>21</v>
      </c>
      <c r="H13" t="s">
        <v>22</v>
      </c>
      <c r="J13" t="s">
        <v>25</v>
      </c>
      <c r="L13" t="s">
        <v>29</v>
      </c>
    </row>
    <row r="14" spans="1:16" x14ac:dyDescent="0.25">
      <c r="A14" t="s">
        <v>12</v>
      </c>
      <c r="B14" s="1">
        <v>2.779E-6</v>
      </c>
      <c r="C14" t="s">
        <v>24</v>
      </c>
      <c r="D14" s="1">
        <v>1.9402300000000001E-6</v>
      </c>
      <c r="E14" t="s">
        <v>24</v>
      </c>
      <c r="F14" s="1">
        <v>8.2989999999999999E-7</v>
      </c>
      <c r="G14" t="s">
        <v>24</v>
      </c>
      <c r="H14" s="1">
        <v>3.7290000000000001E-7</v>
      </c>
      <c r="I14" t="s">
        <v>24</v>
      </c>
      <c r="J14" s="1">
        <v>1.4740000000000001E-7</v>
      </c>
      <c r="K14" t="s">
        <v>24</v>
      </c>
      <c r="L14" s="1">
        <v>3.6505000000000002E-8</v>
      </c>
      <c r="M14" t="s">
        <v>24</v>
      </c>
    </row>
    <row r="15" spans="1:16" x14ac:dyDescent="0.25">
      <c r="A15" t="s">
        <v>23</v>
      </c>
      <c r="B15" s="1">
        <f>B14*60</f>
        <v>1.6673999999999999E-4</v>
      </c>
      <c r="C15" t="s">
        <v>0</v>
      </c>
      <c r="D15" s="1">
        <f>D14*60</f>
        <v>1.164138E-4</v>
      </c>
      <c r="E15" t="s">
        <v>0</v>
      </c>
      <c r="F15" s="1">
        <f>F14*60</f>
        <v>4.9793999999999998E-5</v>
      </c>
      <c r="G15" t="s">
        <v>0</v>
      </c>
      <c r="H15" s="1">
        <f>H14*60</f>
        <v>2.2374E-5</v>
      </c>
      <c r="I15" t="s">
        <v>0</v>
      </c>
      <c r="J15" s="1">
        <f>J14*60</f>
        <v>8.8440000000000004E-6</v>
      </c>
      <c r="K15" t="s">
        <v>0</v>
      </c>
      <c r="L15" s="1">
        <f>L14*60</f>
        <v>2.1903E-6</v>
      </c>
      <c r="M15" t="s">
        <v>0</v>
      </c>
    </row>
    <row r="16" spans="1:16" x14ac:dyDescent="0.25">
      <c r="A16" t="s">
        <v>17</v>
      </c>
      <c r="B16" s="1">
        <f>B15*B10</f>
        <v>1.4918108092142068E+16</v>
      </c>
      <c r="D16" s="1">
        <f>D15*B10</f>
        <v>1.0415459108894136E+16</v>
      </c>
      <c r="F16" s="1">
        <f>F15*B10</f>
        <v>4455033431330947</v>
      </c>
      <c r="H16" s="1">
        <f>H15*B10</f>
        <v>2001785717006037</v>
      </c>
      <c r="J16" s="1">
        <f>J15*B10</f>
        <v>791266330615955.75</v>
      </c>
      <c r="L16" s="1">
        <f>L15*B10</f>
        <v>195964568515165.97</v>
      </c>
    </row>
    <row r="17" spans="1:19" x14ac:dyDescent="0.25">
      <c r="B17" s="10"/>
      <c r="D17" s="10"/>
      <c r="F17" s="10"/>
      <c r="H17" s="10"/>
      <c r="J17" s="10"/>
      <c r="L17" s="10"/>
    </row>
    <row r="18" spans="1:19" x14ac:dyDescent="0.25">
      <c r="A18" t="s">
        <v>67</v>
      </c>
      <c r="B18" s="10">
        <f>Quantification!$B$9</f>
        <v>5.8426966292134822E+17</v>
      </c>
      <c r="C18" t="s">
        <v>90</v>
      </c>
      <c r="D18" s="10">
        <f>Quantification!B10</f>
        <v>2.921349381648812E+16</v>
      </c>
      <c r="E18" t="s">
        <v>46</v>
      </c>
      <c r="F18" s="10"/>
      <c r="H18" s="10"/>
      <c r="J18" s="10"/>
      <c r="L18" s="10"/>
    </row>
    <row r="20" spans="1:19" x14ac:dyDescent="0.25">
      <c r="B20" s="4" t="s">
        <v>26</v>
      </c>
      <c r="C20" s="3" t="s">
        <v>27</v>
      </c>
      <c r="E20" s="1"/>
    </row>
    <row r="21" spans="1:19" x14ac:dyDescent="0.25">
      <c r="B21" s="5">
        <v>10</v>
      </c>
      <c r="C21" s="4">
        <f>B16</f>
        <v>1.4918108092142068E+16</v>
      </c>
      <c r="D21" s="10">
        <f t="shared" ref="D21:D27" si="0">C21*$E$10</f>
        <v>2664607964809366</v>
      </c>
      <c r="E21" s="6">
        <f t="shared" ref="E21:E27" si="1">C21/$B$18</f>
        <v>2.5532915773089311E-2</v>
      </c>
      <c r="F21" s="11">
        <f>E21*SQRT((D10/B10)^2+(D18/B18)^2)</f>
        <v>4.7358955465464092E-3</v>
      </c>
    </row>
    <row r="22" spans="1:19" x14ac:dyDescent="0.25">
      <c r="B22" s="5">
        <v>40</v>
      </c>
      <c r="C22" s="4">
        <f>D32</f>
        <v>1.0153264367511892E+16</v>
      </c>
      <c r="D22" s="10">
        <f t="shared" si="0"/>
        <v>1813532180849254.5</v>
      </c>
      <c r="E22" s="6">
        <f t="shared" si="1"/>
        <v>1.7377702475164587E-2</v>
      </c>
      <c r="F22" s="11">
        <f>E22*F21/E21</f>
        <v>3.2232505089794861E-3</v>
      </c>
    </row>
    <row r="23" spans="1:19" x14ac:dyDescent="0.25">
      <c r="B23" s="5">
        <v>80</v>
      </c>
      <c r="C23" s="4">
        <f t="shared" ref="C23:C26" si="2">D33</f>
        <v>4535104860011189</v>
      </c>
      <c r="D23" s="10">
        <f t="shared" si="0"/>
        <v>810040821302047.37</v>
      </c>
      <c r="E23" s="6">
        <f t="shared" si="1"/>
        <v>7.7620063950191512E-3</v>
      </c>
      <c r="F23" s="11">
        <f t="shared" ref="F23:F26" si="3">E23*F22/E22</f>
        <v>1.4397122461501084E-3</v>
      </c>
    </row>
    <row r="24" spans="1:19" x14ac:dyDescent="0.25">
      <c r="B24" s="5">
        <v>120</v>
      </c>
      <c r="C24" s="4">
        <f t="shared" si="2"/>
        <v>1867747133136187</v>
      </c>
      <c r="D24" s="10">
        <f t="shared" si="0"/>
        <v>333608917194132.62</v>
      </c>
      <c r="E24" s="6">
        <f t="shared" si="1"/>
        <v>3.1967210547907822E-3</v>
      </c>
      <c r="F24" s="11">
        <f t="shared" si="3"/>
        <v>5.9293412242761041E-4</v>
      </c>
      <c r="P24" t="s">
        <v>72</v>
      </c>
      <c r="Q24" s="10"/>
      <c r="R24" s="10"/>
    </row>
    <row r="25" spans="1:19" x14ac:dyDescent="0.25">
      <c r="B25" s="5">
        <v>200</v>
      </c>
      <c r="C25" s="4">
        <f t="shared" si="2"/>
        <v>735462728942603.87</v>
      </c>
      <c r="D25" s="10">
        <f t="shared" si="0"/>
        <v>131365172665101.73</v>
      </c>
      <c r="E25" s="6">
        <f t="shared" si="1"/>
        <v>1.2587727476133029E-3</v>
      </c>
      <c r="F25" s="11">
        <f t="shared" si="3"/>
        <v>2.334796504447379E-4</v>
      </c>
      <c r="P25" t="s">
        <v>73</v>
      </c>
      <c r="Q25" s="10"/>
      <c r="R25" s="10"/>
    </row>
    <row r="26" spans="1:19" x14ac:dyDescent="0.25">
      <c r="B26" s="5">
        <v>250</v>
      </c>
      <c r="C26" s="4">
        <f t="shared" si="2"/>
        <v>214820756526845.78</v>
      </c>
      <c r="D26" s="10">
        <f t="shared" si="0"/>
        <v>38370354693254.867</v>
      </c>
      <c r="E26" s="6">
        <f t="shared" si="1"/>
        <v>3.6767398713248611E-4</v>
      </c>
      <c r="F26" s="11">
        <f t="shared" si="3"/>
        <v>6.8196895870268278E-5</v>
      </c>
      <c r="P26" t="s">
        <v>74</v>
      </c>
      <c r="S26" t="s">
        <v>28</v>
      </c>
    </row>
    <row r="27" spans="1:19" x14ac:dyDescent="0.25">
      <c r="B27" s="5">
        <v>300</v>
      </c>
      <c r="C27" s="3">
        <v>0</v>
      </c>
      <c r="D27" s="10">
        <f t="shared" si="0"/>
        <v>0</v>
      </c>
      <c r="E27" s="6">
        <f t="shared" si="1"/>
        <v>0</v>
      </c>
      <c r="F27" s="11"/>
      <c r="P27" t="s">
        <v>75</v>
      </c>
    </row>
    <row r="28" spans="1:19" x14ac:dyDescent="0.25">
      <c r="P28" t="s">
        <v>76</v>
      </c>
    </row>
    <row r="29" spans="1:19" x14ac:dyDescent="0.25">
      <c r="P29" t="s">
        <v>77</v>
      </c>
    </row>
    <row r="30" spans="1:19" x14ac:dyDescent="0.25">
      <c r="B30" t="s">
        <v>79</v>
      </c>
    </row>
    <row r="31" spans="1:19" x14ac:dyDescent="0.25">
      <c r="B31">
        <v>10</v>
      </c>
      <c r="C31">
        <f>1</f>
        <v>1</v>
      </c>
      <c r="D31" s="10">
        <f>$C$21*C31</f>
        <v>1.4918108092142068E+16</v>
      </c>
      <c r="E31" s="7">
        <f>D31/Quantification!$B$9</f>
        <v>2.5532915773089311E-2</v>
      </c>
      <c r="F31" s="7">
        <f t="shared" ref="F31:F36" si="4">D21/C21*E21</f>
        <v>4.5605790166929538E-3</v>
      </c>
    </row>
    <row r="32" spans="1:19" x14ac:dyDescent="0.25">
      <c r="B32">
        <v>40</v>
      </c>
      <c r="C32">
        <v>0.68059999999999998</v>
      </c>
      <c r="D32" s="10">
        <f t="shared" ref="D32:D36" si="5">$C$21*C32</f>
        <v>1.0153264367511892E+16</v>
      </c>
      <c r="E32" s="7">
        <f>D32/Quantification!$B$9</f>
        <v>1.7377702475164587E-2</v>
      </c>
      <c r="F32" s="7">
        <f t="shared" si="4"/>
        <v>3.1039300787612245E-3</v>
      </c>
    </row>
    <row r="33" spans="2:16" x14ac:dyDescent="0.25">
      <c r="B33">
        <v>80</v>
      </c>
      <c r="C33">
        <v>0.30399999999999999</v>
      </c>
      <c r="D33" s="10">
        <f t="shared" si="5"/>
        <v>4535104860011189</v>
      </c>
      <c r="E33" s="7">
        <f>D33/Quantification!$B$9</f>
        <v>7.7620063950191512E-3</v>
      </c>
      <c r="F33" s="7">
        <f t="shared" si="4"/>
        <v>1.386416021074658E-3</v>
      </c>
    </row>
    <row r="34" spans="2:16" x14ac:dyDescent="0.25">
      <c r="B34">
        <v>120</v>
      </c>
      <c r="C34">
        <v>0.12520000000000001</v>
      </c>
      <c r="D34" s="10">
        <f t="shared" si="5"/>
        <v>1867747133136187</v>
      </c>
      <c r="E34" s="7">
        <f>D34/Quantification!$B$9</f>
        <v>3.1967210547907822E-3</v>
      </c>
      <c r="F34" s="7">
        <f t="shared" si="4"/>
        <v>5.7098449288995787E-4</v>
      </c>
    </row>
    <row r="35" spans="2:16" x14ac:dyDescent="0.25">
      <c r="B35">
        <v>200</v>
      </c>
      <c r="C35">
        <v>4.9299999999999997E-2</v>
      </c>
      <c r="D35" s="10">
        <f t="shared" si="5"/>
        <v>735462728942603.87</v>
      </c>
      <c r="E35" s="7">
        <f>D35/Quantification!$B$9</f>
        <v>1.2587727476133029E-3</v>
      </c>
      <c r="F35" s="7">
        <f t="shared" si="4"/>
        <v>2.2483654552296259E-4</v>
      </c>
    </row>
    <row r="36" spans="2:16" x14ac:dyDescent="0.25">
      <c r="B36">
        <v>250</v>
      </c>
      <c r="C36">
        <v>1.44E-2</v>
      </c>
      <c r="D36" s="10">
        <f t="shared" si="5"/>
        <v>214820756526845.78</v>
      </c>
      <c r="E36" s="7">
        <f>D36/Quantification!$B$9</f>
        <v>3.6767398713248611E-4</v>
      </c>
      <c r="F36" s="7">
        <f t="shared" si="4"/>
        <v>6.5672337840378534E-5</v>
      </c>
    </row>
    <row r="37" spans="2:16" x14ac:dyDescent="0.25">
      <c r="P37" t="s">
        <v>28</v>
      </c>
    </row>
  </sheetData>
  <mergeCells count="1">
    <mergeCell ref="B12:I12"/>
  </mergeCells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0"/>
  <sheetViews>
    <sheetView tabSelected="1" workbookViewId="0">
      <selection activeCell="B11" sqref="B11"/>
    </sheetView>
  </sheetViews>
  <sheetFormatPr defaultRowHeight="15" x14ac:dyDescent="0.25"/>
  <cols>
    <col min="1" max="1" width="11.7109375" customWidth="1"/>
    <col min="2" max="2" width="22.5703125" bestFit="1" customWidth="1"/>
    <col min="3" max="3" width="9.85546875" customWidth="1"/>
    <col min="4" max="4" width="12" bestFit="1" customWidth="1"/>
    <col min="7" max="7" width="11" bestFit="1" customWidth="1"/>
  </cols>
  <sheetData>
    <row r="2" spans="1:8" x14ac:dyDescent="0.25">
      <c r="B2" s="2">
        <v>42908</v>
      </c>
      <c r="F2" t="s">
        <v>20</v>
      </c>
      <c r="G2" t="s">
        <v>22</v>
      </c>
      <c r="H2" t="s">
        <v>71</v>
      </c>
    </row>
    <row r="3" spans="1:8" x14ac:dyDescent="0.25">
      <c r="A3" t="s">
        <v>70</v>
      </c>
      <c r="B3" s="10">
        <v>1.9999999999999999E-6</v>
      </c>
      <c r="F3">
        <v>280.14100000000002</v>
      </c>
      <c r="G3">
        <v>246.69900000000001</v>
      </c>
      <c r="H3">
        <v>128.565</v>
      </c>
    </row>
    <row r="4" spans="1:8" x14ac:dyDescent="0.25">
      <c r="A4" t="s">
        <v>46</v>
      </c>
      <c r="B4" s="10">
        <v>9.9999999999999995E-8</v>
      </c>
      <c r="F4">
        <v>1.4079999999999999</v>
      </c>
      <c r="G4" s="15">
        <v>1.24</v>
      </c>
      <c r="H4">
        <v>0.64700000000000002</v>
      </c>
    </row>
    <row r="5" spans="1:8" x14ac:dyDescent="0.25">
      <c r="A5" t="s">
        <v>69</v>
      </c>
      <c r="B5" s="10">
        <f>B3/[1]Calib!$B$4</f>
        <v>12484394506866.416</v>
      </c>
    </row>
    <row r="6" spans="1:8" x14ac:dyDescent="0.25">
      <c r="A6" t="s">
        <v>46</v>
      </c>
      <c r="B6" s="10">
        <f>B4/B3*B5</f>
        <v>624219725343.3208</v>
      </c>
    </row>
    <row r="7" spans="1:8" x14ac:dyDescent="0.25">
      <c r="A7" t="s">
        <v>68</v>
      </c>
      <c r="B7">
        <f>3600*13</f>
        <v>46800</v>
      </c>
    </row>
    <row r="8" spans="1:8" x14ac:dyDescent="0.25">
      <c r="A8" t="s">
        <v>46</v>
      </c>
      <c r="B8">
        <v>2</v>
      </c>
    </row>
    <row r="9" spans="1:8" x14ac:dyDescent="0.25">
      <c r="A9" t="s">
        <v>67</v>
      </c>
      <c r="B9" s="10">
        <f>B5*B7</f>
        <v>5.8426966292134822E+17</v>
      </c>
    </row>
    <row r="10" spans="1:8" x14ac:dyDescent="0.25">
      <c r="A10" t="s">
        <v>46</v>
      </c>
      <c r="B10" s="8">
        <f>SQRT((B8*B5)^2+(B6*B7)^2)</f>
        <v>2.921349381648812E+16</v>
      </c>
    </row>
    <row r="11" spans="1:8" x14ac:dyDescent="0.25">
      <c r="A11" t="s">
        <v>66</v>
      </c>
      <c r="B11" s="12">
        <f>B9*2</f>
        <v>1.1685393258426964E+18</v>
      </c>
    </row>
    <row r="12" spans="1:8" x14ac:dyDescent="0.25">
      <c r="A12" t="s">
        <v>46</v>
      </c>
      <c r="B12" s="8">
        <f>B10*2</f>
        <v>5.842698763297624E+16</v>
      </c>
    </row>
    <row r="13" spans="1:8" x14ac:dyDescent="0.25">
      <c r="A13" t="s">
        <v>65</v>
      </c>
      <c r="B13" s="10">
        <f>'Actual Data'!B16</f>
        <v>1.4918108092142068E+16</v>
      </c>
      <c r="D13" s="10"/>
    </row>
    <row r="14" spans="1:8" x14ac:dyDescent="0.25">
      <c r="A14" t="s">
        <v>46</v>
      </c>
      <c r="B14" s="8">
        <f>'Actual Data'!D21</f>
        <v>2664607964809366</v>
      </c>
    </row>
    <row r="15" spans="1:8" x14ac:dyDescent="0.25">
      <c r="A15" t="s">
        <v>49</v>
      </c>
      <c r="B15" s="7">
        <f>B13/B9</f>
        <v>2.5532915773089311E-2</v>
      </c>
    </row>
    <row r="16" spans="1:8" x14ac:dyDescent="0.25">
      <c r="A16" t="s">
        <v>46</v>
      </c>
      <c r="B16" s="7">
        <f>SQRT((B14/B9)^2+(-B13*B10/(B9^2))^2)</f>
        <v>4.7358955465464092E-3</v>
      </c>
    </row>
    <row r="18" spans="1:7" x14ac:dyDescent="0.25">
      <c r="B18" s="6" t="s">
        <v>82</v>
      </c>
      <c r="C18" t="s">
        <v>81</v>
      </c>
      <c r="D18" t="s">
        <v>80</v>
      </c>
    </row>
    <row r="19" spans="1:7" x14ac:dyDescent="0.25">
      <c r="A19" s="10" t="s">
        <v>64</v>
      </c>
      <c r="B19" s="14">
        <v>3.355</v>
      </c>
      <c r="C19" t="s">
        <v>63</v>
      </c>
    </row>
    <row r="20" spans="1:7" x14ac:dyDescent="0.25">
      <c r="A20" s="10" t="s">
        <v>62</v>
      </c>
      <c r="B20" s="14">
        <v>146.4</v>
      </c>
      <c r="C20" t="s">
        <v>61</v>
      </c>
    </row>
    <row r="21" spans="1:7" x14ac:dyDescent="0.25">
      <c r="A21" s="10" t="s">
        <v>36</v>
      </c>
      <c r="B21" s="14">
        <v>1.1000000000000001</v>
      </c>
      <c r="C21" t="s">
        <v>60</v>
      </c>
      <c r="D21">
        <v>0.1</v>
      </c>
      <c r="F21" s="10">
        <f>B24/B20</f>
        <v>5.0416666666666678E-7</v>
      </c>
    </row>
    <row r="22" spans="1:7" x14ac:dyDescent="0.25">
      <c r="A22" s="10" t="s">
        <v>59</v>
      </c>
      <c r="B22" s="10">
        <v>2.0000000000000002E-5</v>
      </c>
      <c r="C22" t="s">
        <v>58</v>
      </c>
      <c r="D22" s="10">
        <v>3.9999999999999998E-6</v>
      </c>
      <c r="F22" s="10">
        <f>B19/B20*B23</f>
        <v>5.0416666666666667E-7</v>
      </c>
    </row>
    <row r="23" spans="1:7" x14ac:dyDescent="0.25">
      <c r="A23" s="10" t="s">
        <v>57</v>
      </c>
      <c r="B23" s="10">
        <f>B21*B22</f>
        <v>2.2000000000000003E-5</v>
      </c>
      <c r="C23" t="s">
        <v>56</v>
      </c>
      <c r="D23" s="10">
        <f>SQRT((D21/B21)^2+(D22/B22)^2)*B23</f>
        <v>4.8332183894378291E-6</v>
      </c>
    </row>
    <row r="24" spans="1:7" x14ac:dyDescent="0.25">
      <c r="A24" s="10" t="s">
        <v>55</v>
      </c>
      <c r="B24" s="10">
        <f>B19*B23</f>
        <v>7.3810000000000013E-5</v>
      </c>
      <c r="C24" t="s">
        <v>54</v>
      </c>
      <c r="D24" s="10">
        <f>D23*B24/B23</f>
        <v>1.6215447696563916E-5</v>
      </c>
    </row>
    <row r="25" spans="1:7" x14ac:dyDescent="0.25">
      <c r="A25" s="10" t="s">
        <v>53</v>
      </c>
      <c r="B25" s="10">
        <f>B24*Calib!B2/B20</f>
        <v>3.0360916666666669E+17</v>
      </c>
      <c r="D25" s="10">
        <f>D24*B25/B24</f>
        <v>6.6700427615237632E+16</v>
      </c>
    </row>
    <row r="26" spans="1:7" x14ac:dyDescent="0.25">
      <c r="A26" s="10" t="s">
        <v>52</v>
      </c>
      <c r="B26" s="10">
        <f>B25*4</f>
        <v>1.2144366666666668E+18</v>
      </c>
      <c r="C26" t="s">
        <v>50</v>
      </c>
      <c r="D26" s="10">
        <f>D25*4</f>
        <v>2.6680171046095053E+17</v>
      </c>
      <c r="F26" s="10">
        <f>B26/Calib!B2</f>
        <v>2.0166666666666667E-6</v>
      </c>
    </row>
    <row r="27" spans="1:7" x14ac:dyDescent="0.25">
      <c r="A27" s="10" t="s">
        <v>51</v>
      </c>
      <c r="B27" s="10">
        <f>B26*0.002015</f>
        <v>2447089883333333.5</v>
      </c>
      <c r="C27" t="s">
        <v>50</v>
      </c>
      <c r="D27" s="10">
        <f>D26*B27/B26</f>
        <v>537605446578815.31</v>
      </c>
      <c r="E27" s="10"/>
      <c r="F27" s="10">
        <f>F26*0.002015</f>
        <v>4.0635833333333334E-9</v>
      </c>
    </row>
    <row r="28" spans="1:7" x14ac:dyDescent="0.25">
      <c r="A28" s="10" t="s">
        <v>84</v>
      </c>
      <c r="B28" s="10">
        <f>G28*F4</f>
        <v>1722751277866666.7</v>
      </c>
      <c r="C28" t="s">
        <v>83</v>
      </c>
      <c r="D28" s="10">
        <f>D27*B28/B27</f>
        <v>378474234391486</v>
      </c>
      <c r="F28" s="10">
        <f>F27*Calib!B2</f>
        <v>2447089883333333.5</v>
      </c>
      <c r="G28" s="10">
        <f>F28/2</f>
        <v>1223544941666666.7</v>
      </c>
    </row>
    <row r="29" spans="1:7" x14ac:dyDescent="0.25">
      <c r="A29" s="10" t="s">
        <v>85</v>
      </c>
      <c r="B29" s="10">
        <f>G28*G4</f>
        <v>1517195727666666.7</v>
      </c>
      <c r="C29" t="s">
        <v>83</v>
      </c>
      <c r="D29" s="10">
        <f t="shared" ref="D29:D30" si="0">D28*B29/B28</f>
        <v>333315376878865.5</v>
      </c>
    </row>
    <row r="30" spans="1:7" x14ac:dyDescent="0.25">
      <c r="A30" s="10" t="s">
        <v>86</v>
      </c>
      <c r="B30" s="10">
        <f>G28*H4</f>
        <v>791633577258333.37</v>
      </c>
      <c r="C30" t="s">
        <v>83</v>
      </c>
      <c r="D30" s="10">
        <f t="shared" si="0"/>
        <v>173915361968246.75</v>
      </c>
    </row>
    <row r="31" spans="1:7" x14ac:dyDescent="0.25">
      <c r="A31" s="10"/>
      <c r="B31" s="10"/>
      <c r="D31" s="10"/>
    </row>
    <row r="32" spans="1:7" x14ac:dyDescent="0.25">
      <c r="A32" s="10"/>
      <c r="B32" s="10"/>
      <c r="D32" s="10"/>
    </row>
    <row r="33" spans="1:9" x14ac:dyDescent="0.25">
      <c r="A33" s="10"/>
      <c r="B33" s="10"/>
      <c r="D33" s="10"/>
    </row>
    <row r="34" spans="1:9" x14ac:dyDescent="0.25">
      <c r="G34" s="12"/>
    </row>
    <row r="35" spans="1:9" x14ac:dyDescent="0.25">
      <c r="A35" s="10" t="s">
        <v>78</v>
      </c>
      <c r="B35">
        <v>10</v>
      </c>
      <c r="C35" s="10">
        <v>1.916E+16</v>
      </c>
      <c r="D35" s="10">
        <f>C35*D36/C36</f>
        <v>2988872228239021</v>
      </c>
      <c r="E35" s="7">
        <f>C35/B9</f>
        <v>3.2793076923076925E-2</v>
      </c>
      <c r="F35" s="11">
        <f>D35/C35*E35</f>
        <v>5.1155697752552484E-3</v>
      </c>
      <c r="G35" s="12"/>
      <c r="I35" s="11"/>
    </row>
    <row r="36" spans="1:9" x14ac:dyDescent="0.25">
      <c r="B36">
        <v>40</v>
      </c>
      <c r="C36" s="16">
        <f>B28+'Actual Data'!D32</f>
        <v>1.1876015645378558E+16</v>
      </c>
      <c r="D36" s="10">
        <f>SQRT((D28)^2+('Actual Data'!D22)^2)</f>
        <v>1852604036774743.5</v>
      </c>
      <c r="E36" s="7">
        <f>C36/B9</f>
        <v>2.032625754689792E-2</v>
      </c>
      <c r="F36" s="11">
        <f>D36/C36*E36</f>
        <v>3.1708030629413885E-3</v>
      </c>
      <c r="G36" s="12"/>
      <c r="I36" s="11"/>
    </row>
    <row r="37" spans="1:9" x14ac:dyDescent="0.25">
      <c r="B37">
        <v>80</v>
      </c>
      <c r="C37" s="10">
        <v>6413000000000000</v>
      </c>
      <c r="D37" s="10">
        <f>C37*D36/C36</f>
        <v>1000398622113613.7</v>
      </c>
      <c r="E37" s="7">
        <f>C37/B9</f>
        <v>1.0976096153846156E-2</v>
      </c>
      <c r="F37" s="11">
        <f t="shared" ref="F37:F40" si="1">D37/C37*E37</f>
        <v>1.7122207186175316E-3</v>
      </c>
      <c r="G37" s="17"/>
    </row>
    <row r="38" spans="1:9" x14ac:dyDescent="0.25">
      <c r="B38">
        <v>120</v>
      </c>
      <c r="C38" s="16">
        <f>B29+'Actual Data'!D34</f>
        <v>3384942860802854</v>
      </c>
      <c r="D38" s="10">
        <f>SQRT((D29)^2+('Actual Data'!D24)^2)</f>
        <v>471586736555791.75</v>
      </c>
      <c r="E38" s="7">
        <f>C38/B9</f>
        <v>5.7934598963741164E-3</v>
      </c>
      <c r="F38" s="11">
        <f t="shared" si="1"/>
        <v>8.0713883756664364E-4</v>
      </c>
    </row>
    <row r="39" spans="1:9" x14ac:dyDescent="0.25">
      <c r="B39">
        <v>200</v>
      </c>
      <c r="C39" s="10">
        <v>1442000000000000</v>
      </c>
      <c r="D39" s="10">
        <f>C39*D36/C36</f>
        <v>224945394212978.5</v>
      </c>
      <c r="E39" s="7">
        <f>C39/B9</f>
        <v>2.4680384615384621E-3</v>
      </c>
      <c r="F39" s="11">
        <f t="shared" si="1"/>
        <v>3.8500269394144403E-4</v>
      </c>
    </row>
    <row r="40" spans="1:9" x14ac:dyDescent="0.25">
      <c r="B40">
        <v>250</v>
      </c>
      <c r="C40" s="16">
        <f>B30+'Actual Data'!D36</f>
        <v>1006454333785179.1</v>
      </c>
      <c r="D40" s="10">
        <f>SQRT((D30)^2+('Actual Data'!D26)^2)</f>
        <v>178097830553413.75</v>
      </c>
      <c r="E40" s="7">
        <f>C40/B9</f>
        <v>1.722585302055403E-3</v>
      </c>
      <c r="F40" s="11">
        <f t="shared" si="1"/>
        <v>3.0482128690872745E-4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workbookViewId="0">
      <selection activeCell="C23" sqref="C23"/>
    </sheetView>
  </sheetViews>
  <sheetFormatPr defaultRowHeight="15" x14ac:dyDescent="0.25"/>
  <cols>
    <col min="1" max="1" width="18.5703125" customWidth="1"/>
    <col min="2" max="2" width="19.42578125" customWidth="1"/>
    <col min="7" max="7" width="12.5703125" customWidth="1"/>
  </cols>
  <sheetData>
    <row r="1" spans="1:3" x14ac:dyDescent="0.25">
      <c r="A1" t="s">
        <v>30</v>
      </c>
    </row>
    <row r="2" spans="1:3" x14ac:dyDescent="0.25">
      <c r="A2" t="s">
        <v>31</v>
      </c>
      <c r="B2" s="10">
        <v>6.0220000000000003E+23</v>
      </c>
      <c r="C2" t="s">
        <v>32</v>
      </c>
    </row>
    <row r="3" spans="1:3" x14ac:dyDescent="0.25">
      <c r="A3" t="s">
        <v>33</v>
      </c>
      <c r="B3">
        <v>62.363599999999998</v>
      </c>
    </row>
    <row r="4" spans="1:3" x14ac:dyDescent="0.25">
      <c r="A4" t="s">
        <v>34</v>
      </c>
      <c r="B4" s="12">
        <v>1.602E-19</v>
      </c>
      <c r="C4" t="s">
        <v>0</v>
      </c>
    </row>
    <row r="9" spans="1:3" x14ac:dyDescent="0.25">
      <c r="B9" t="s">
        <v>35</v>
      </c>
    </row>
    <row r="10" spans="1:3" x14ac:dyDescent="0.25">
      <c r="A10" t="s">
        <v>36</v>
      </c>
      <c r="B10" s="10">
        <v>2.4860000000000003E-4</v>
      </c>
    </row>
    <row r="11" spans="1:3" x14ac:dyDescent="0.25">
      <c r="A11" t="s">
        <v>37</v>
      </c>
      <c r="B11" s="10">
        <v>4.0699999999999998E-7</v>
      </c>
    </row>
    <row r="12" spans="1:3" x14ac:dyDescent="0.25">
      <c r="A12" t="s">
        <v>38</v>
      </c>
      <c r="B12" s="9">
        <v>2.0000000000000001E-9</v>
      </c>
    </row>
    <row r="13" spans="1:3" x14ac:dyDescent="0.25">
      <c r="A13" t="s">
        <v>39</v>
      </c>
      <c r="B13" s="13">
        <v>60</v>
      </c>
    </row>
    <row r="14" spans="1:3" x14ac:dyDescent="0.25">
      <c r="A14" t="s">
        <v>40</v>
      </c>
      <c r="B14" s="12">
        <f>B12/SQRT(B13)</f>
        <v>2.5819888974716115E-10</v>
      </c>
    </row>
    <row r="15" spans="1:3" x14ac:dyDescent="0.25">
      <c r="A15" t="s">
        <v>41</v>
      </c>
      <c r="B15" s="10">
        <v>1.1200000000000001E-6</v>
      </c>
    </row>
    <row r="16" spans="1:3" x14ac:dyDescent="0.25">
      <c r="A16" t="s">
        <v>42</v>
      </c>
      <c r="B16" s="10">
        <f>0.0627*B15</f>
        <v>7.0224000000000007E-8</v>
      </c>
    </row>
    <row r="17" spans="1:2" x14ac:dyDescent="0.25">
      <c r="A17" t="s">
        <v>43</v>
      </c>
      <c r="B17" s="13">
        <v>297.39999999999998</v>
      </c>
    </row>
    <row r="18" spans="1:2" x14ac:dyDescent="0.25">
      <c r="A18" t="s">
        <v>44</v>
      </c>
      <c r="B18" s="13">
        <v>0.1</v>
      </c>
    </row>
    <row r="19" spans="1:2" x14ac:dyDescent="0.25">
      <c r="A19" t="s">
        <v>45</v>
      </c>
      <c r="B19" s="10">
        <f>B15*$B$2/($B$3*B17)</f>
        <v>36365254587428.695</v>
      </c>
    </row>
    <row r="20" spans="1:2" x14ac:dyDescent="0.25">
      <c r="A20" t="s">
        <v>46</v>
      </c>
      <c r="B20" s="8">
        <f>SQRT(($B$2*B16/($B$3*B17))^2+($B$2*B15*B18/(-$B$3*B17^2))^2)</f>
        <v>2280134249810.272</v>
      </c>
    </row>
    <row r="21" spans="1:2" x14ac:dyDescent="0.25">
      <c r="A21" t="s">
        <v>47</v>
      </c>
      <c r="B21" s="10">
        <f>B19/B11</f>
        <v>8.9349519870832181E+19</v>
      </c>
    </row>
    <row r="22" spans="1:2" x14ac:dyDescent="0.25">
      <c r="A22" t="s">
        <v>48</v>
      </c>
      <c r="B22" s="10">
        <f>SQRT((B20/B11)^2+(-B19*B14/(B11^2))^2)</f>
        <v>5.602582200001068E+18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Actual Data</vt:lpstr>
      <vt:lpstr>Quantification</vt:lpstr>
      <vt:lpstr>Calib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Parker Crandall</dc:creator>
  <cp:lastModifiedBy>Parker Crandall</cp:lastModifiedBy>
  <dcterms:created xsi:type="dcterms:W3CDTF">2017-10-12T22:02:57Z</dcterms:created>
  <dcterms:modified xsi:type="dcterms:W3CDTF">2018-11-27T21:41:50Z</dcterms:modified>
</cp:coreProperties>
</file>