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or\Google Drive\In_progress\3_NH4ClO4_PIE\mns\"/>
    </mc:Choice>
  </mc:AlternateContent>
  <bookViews>
    <workbookView xWindow="0" yWindow="0" windowWidth="14400" windowHeight="6090"/>
  </bookViews>
  <sheets>
    <sheet name="Cover" sheetId="2" r:id="rId1"/>
    <sheet name="TOC" sheetId="5" r:id="rId2"/>
    <sheet name="Table S1" sheetId="6" r:id="rId3"/>
    <sheet name="Table S2" sheetId="7" r:id="rId4"/>
    <sheet name="Table S3" sheetId="8" r:id="rId5"/>
    <sheet name="Table S4" sheetId="1" r:id="rId6"/>
    <sheet name="References" sheetId="3" r:id="rId7"/>
    <sheet name="Figure S1" sheetId="4" r:id="rId8"/>
  </sheets>
  <definedNames>
    <definedName name="_Hlk484437115" localSheetId="3">'Table S2'!$A$16</definedName>
    <definedName name="_Hlk485299367" localSheetId="3">'Table S2'!$A$10</definedName>
    <definedName name="_Hlk485299401" localSheetId="3">'Table S2'!$A$18</definedName>
    <definedName name="_Hlk485299418" localSheetId="3">'Table S2'!$A$25</definedName>
    <definedName name="_Ref487900165" localSheetId="2">'Table S1'!$B$4</definedName>
    <definedName name="_Ref487900166" localSheetId="2">'Table S1'!$B$12</definedName>
    <definedName name="_Ref488228018" localSheetId="2">'Table S1'!$B$2</definedName>
    <definedName name="_Ref490734173" localSheetId="3">'Table S2'!$F$2</definedName>
    <definedName name="_Ref490734449" localSheetId="3">'Table S2'!$F$3</definedName>
    <definedName name="_Ref490734458" localSheetId="3">'Table S2'!$F$4</definedName>
    <definedName name="_Ref490734648" localSheetId="3">'Table S2'!$F$5</definedName>
    <definedName name="_Ref490735939" localSheetId="3">'Table S2'!#REF!</definedName>
    <definedName name="_Ref490736047" localSheetId="3">'Table S2'!$F$9</definedName>
    <definedName name="_Ref490736444" localSheetId="3">'Table S2'!$F$10</definedName>
    <definedName name="_Ref490736819" localSheetId="3">'Table S2'!$F$12</definedName>
    <definedName name="_Ref490741158" localSheetId="3">'Table S2'!$F$18</definedName>
    <definedName name="_Ref490743285" localSheetId="3">'Table S2'!$F$25</definedName>
    <definedName name="_Ref490745017" localSheetId="3">'Table S2'!$F$28</definedName>
    <definedName name="_Ref490745695" localSheetId="3">'Table S2'!$F$30</definedName>
    <definedName name="_Ref491103166" localSheetId="4">'Table S3'!$K$12</definedName>
    <definedName name="OLE_LINK15" localSheetId="3">'Table S2'!$B$10</definedName>
    <definedName name="OLE_LINK17" localSheetId="3">'Table S2'!$C$10</definedName>
    <definedName name="OLE_LINK18" localSheetId="3">'Table S2'!$D$10</definedName>
    <definedName name="OLE_LINK20" localSheetId="3">'Table S2'!$C$27</definedName>
    <definedName name="OLE_LINK41" localSheetId="3">'Table S2'!$C$25</definedName>
    <definedName name="OLE_LINK44" localSheetId="3">'Table S2'!$C$16</definedName>
    <definedName name="OLE_LINK53" localSheetId="3">'Table S2'!$C$18</definedName>
    <definedName name="OLE_LINK61" localSheetId="3">'Table S2'!$C$15</definedName>
    <definedName name="OLE_LINK78" localSheetId="3">'Table S2'!$C$22</definedName>
    <definedName name="OLE_LINK81" localSheetId="3">'Table S2'!$C$9</definedName>
    <definedName name="OLE_LINK84" localSheetId="3">'Table S2'!$B$25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1" i="1" l="1"/>
  <c r="L320" i="1"/>
  <c r="L312" i="1"/>
  <c r="S284" i="1"/>
  <c r="L279" i="1"/>
  <c r="L294" i="1"/>
  <c r="Y291" i="1"/>
  <c r="Y263" i="1"/>
  <c r="S235" i="1"/>
  <c r="X272" i="1"/>
  <c r="V272" i="1"/>
  <c r="AG272" i="1"/>
  <c r="L223" i="1"/>
  <c r="S206" i="1"/>
  <c r="Y208" i="1"/>
  <c r="L203" i="1"/>
  <c r="S314" i="1"/>
  <c r="S311" i="1"/>
  <c r="L217" i="1"/>
  <c r="S217" i="1"/>
  <c r="S214" i="1"/>
  <c r="L214" i="1"/>
  <c r="Y217" i="1"/>
  <c r="K155" i="1"/>
  <c r="J155" i="1"/>
  <c r="I155" i="1"/>
  <c r="S151" i="1"/>
  <c r="L148" i="1"/>
  <c r="L147" i="1"/>
  <c r="R142" i="1"/>
  <c r="P142" i="1"/>
  <c r="S164" i="1"/>
  <c r="L140" i="1"/>
  <c r="L121" i="1"/>
  <c r="Y118" i="1"/>
  <c r="L118" i="1"/>
  <c r="L101" i="1"/>
  <c r="AD39" i="1"/>
  <c r="Y91" i="1"/>
  <c r="X39" i="1"/>
  <c r="V39" i="1"/>
  <c r="P32" i="1"/>
  <c r="L96" i="1"/>
  <c r="I63" i="1"/>
  <c r="L257" i="1"/>
  <c r="L258" i="1"/>
  <c r="Y163" i="1"/>
  <c r="K142" i="1"/>
  <c r="L133" i="1"/>
  <c r="L254" i="1"/>
  <c r="L119" i="1"/>
  <c r="L8" i="1"/>
  <c r="L7" i="1"/>
  <c r="L6" i="1"/>
  <c r="S203" i="1"/>
  <c r="S97" i="1"/>
  <c r="AG121" i="1"/>
  <c r="AG118" i="1"/>
  <c r="AG70" i="1"/>
  <c r="K39" i="1"/>
  <c r="X68" i="1"/>
  <c r="X67" i="1"/>
  <c r="I39" i="1"/>
  <c r="S39" i="1"/>
  <c r="K90" i="1"/>
  <c r="AG235" i="1"/>
  <c r="AG13" i="1"/>
  <c r="AG133" i="1"/>
  <c r="Y225" i="1"/>
  <c r="R94" i="1"/>
  <c r="L291" i="1"/>
  <c r="AG291" i="1"/>
  <c r="L292" i="1"/>
  <c r="S293" i="1"/>
  <c r="S294" i="1"/>
  <c r="L295" i="1"/>
  <c r="S295" i="1"/>
  <c r="L296" i="1"/>
  <c r="S297" i="1"/>
  <c r="L280" i="1"/>
  <c r="L281" i="1"/>
  <c r="L282" i="1"/>
  <c r="L283" i="1"/>
  <c r="L284" i="1"/>
  <c r="L21" i="1"/>
  <c r="L103" i="1"/>
  <c r="S103" i="1"/>
  <c r="X77" i="1"/>
  <c r="V77" i="1"/>
  <c r="K77" i="1"/>
  <c r="I77" i="1"/>
  <c r="S77" i="1"/>
  <c r="V68" i="1"/>
  <c r="L73" i="1"/>
  <c r="S49" i="1"/>
  <c r="L37" i="1"/>
  <c r="L24" i="1"/>
  <c r="L231" i="1"/>
  <c r="L204" i="1"/>
  <c r="L235" i="1"/>
  <c r="L303" i="1"/>
  <c r="L305" i="1"/>
  <c r="Y314" i="1"/>
  <c r="Y316" i="1"/>
  <c r="S304" i="1"/>
  <c r="L304" i="1"/>
  <c r="L107" i="1"/>
  <c r="L318" i="1"/>
  <c r="S321" i="1"/>
  <c r="S320" i="1"/>
  <c r="Y308" i="1"/>
  <c r="S317" i="1"/>
  <c r="L317" i="1"/>
  <c r="L319" i="1"/>
  <c r="L322" i="1"/>
  <c r="S316" i="1"/>
  <c r="L316" i="1"/>
  <c r="S315" i="1"/>
  <c r="L315" i="1"/>
  <c r="L314" i="1"/>
  <c r="L311" i="1"/>
  <c r="L313" i="1"/>
  <c r="S308" i="1"/>
  <c r="L308" i="1"/>
  <c r="S307" i="1"/>
  <c r="L307" i="1"/>
  <c r="L306" i="1"/>
  <c r="S309" i="1"/>
  <c r="L309" i="1"/>
  <c r="J31" i="1"/>
  <c r="K31" i="1"/>
  <c r="Y228" i="1"/>
  <c r="L234" i="1"/>
  <c r="L206" i="1"/>
  <c r="L229" i="1"/>
  <c r="L230" i="1"/>
  <c r="Y209" i="1"/>
  <c r="L232" i="1"/>
  <c r="L243" i="1"/>
  <c r="L242" i="1"/>
  <c r="Y218" i="1"/>
  <c r="S78" i="1"/>
  <c r="L29" i="1"/>
  <c r="S240" i="1"/>
  <c r="L240" i="1"/>
  <c r="AG263" i="1"/>
  <c r="L277" i="1"/>
  <c r="L274" i="1"/>
  <c r="S272" i="1"/>
  <c r="S273" i="1"/>
  <c r="Y258" i="1"/>
  <c r="L59" i="1"/>
  <c r="L263" i="1"/>
  <c r="L271" i="1"/>
  <c r="L270" i="1"/>
  <c r="L269" i="1"/>
  <c r="L265" i="1"/>
  <c r="L266" i="1"/>
  <c r="L276" i="1"/>
  <c r="L264" i="1"/>
  <c r="S213" i="1"/>
  <c r="L213" i="1"/>
  <c r="S211" i="1"/>
  <c r="L211" i="1"/>
  <c r="S208" i="1"/>
  <c r="L208" i="1"/>
  <c r="L207" i="1"/>
  <c r="L205" i="1"/>
  <c r="L216" i="1"/>
  <c r="L215" i="1"/>
  <c r="L210" i="1"/>
  <c r="L209" i="1"/>
  <c r="L262" i="1"/>
  <c r="L261" i="1"/>
  <c r="L259" i="1"/>
  <c r="L256" i="1"/>
  <c r="L255" i="1"/>
  <c r="L154" i="1"/>
  <c r="L249" i="1"/>
  <c r="L245" i="1"/>
  <c r="L244" i="1"/>
  <c r="S253" i="1"/>
  <c r="L253" i="1"/>
  <c r="L252" i="1"/>
  <c r="L251" i="1"/>
  <c r="Y127" i="1"/>
  <c r="L250" i="1"/>
  <c r="L289" i="1"/>
  <c r="L287" i="1"/>
  <c r="L288" i="1"/>
  <c r="L156" i="1"/>
  <c r="L226" i="1"/>
  <c r="S226" i="1"/>
  <c r="L225" i="1"/>
  <c r="L224" i="1"/>
  <c r="L228" i="1"/>
  <c r="S228" i="1"/>
  <c r="Y190" i="1"/>
  <c r="Y157" i="1"/>
  <c r="I218" i="1"/>
  <c r="K218" i="1"/>
  <c r="S222" i="1"/>
  <c r="L222" i="1"/>
  <c r="L221" i="1"/>
  <c r="L220" i="1"/>
  <c r="L219" i="1"/>
  <c r="S191" i="1"/>
  <c r="L191" i="1"/>
  <c r="S190" i="1"/>
  <c r="L190" i="1"/>
  <c r="Y159" i="1"/>
  <c r="AG164" i="1"/>
  <c r="Y164" i="1"/>
  <c r="L199" i="1"/>
  <c r="L198" i="1"/>
  <c r="L197" i="1"/>
  <c r="L196" i="1"/>
  <c r="L195" i="1"/>
  <c r="L194" i="1"/>
  <c r="S193" i="1"/>
  <c r="L193" i="1"/>
  <c r="L192" i="1"/>
  <c r="L187" i="1"/>
  <c r="L186" i="1"/>
  <c r="L185" i="1"/>
  <c r="L181" i="1"/>
  <c r="L184" i="1"/>
  <c r="L182" i="1"/>
  <c r="AG137" i="1"/>
  <c r="Y137" i="1"/>
  <c r="L179" i="1"/>
  <c r="L178" i="1"/>
  <c r="L177" i="1"/>
  <c r="L176" i="1"/>
  <c r="L175" i="1"/>
  <c r="L174" i="1"/>
  <c r="L173" i="1"/>
  <c r="L172" i="1"/>
  <c r="L165" i="1"/>
  <c r="L171" i="1"/>
  <c r="L170" i="1"/>
  <c r="L169" i="1"/>
  <c r="L166" i="1"/>
  <c r="Y136" i="1"/>
  <c r="L168" i="1"/>
  <c r="K13" i="1"/>
  <c r="I13" i="1"/>
  <c r="L167" i="1"/>
  <c r="AG134" i="1"/>
  <c r="Y134" i="1"/>
  <c r="L164" i="1"/>
  <c r="S163" i="1"/>
  <c r="L163" i="1"/>
  <c r="L162" i="1"/>
  <c r="X132" i="1"/>
  <c r="V132" i="1"/>
  <c r="W132" i="1"/>
  <c r="K132" i="1"/>
  <c r="I132" i="1"/>
  <c r="Y133" i="1"/>
  <c r="L153" i="1"/>
  <c r="L152" i="1"/>
  <c r="L151" i="1"/>
  <c r="L150" i="1"/>
  <c r="L180" i="1"/>
  <c r="L138" i="1"/>
  <c r="I142" i="1"/>
  <c r="L141" i="1"/>
  <c r="Y121" i="1"/>
  <c r="S145" i="1"/>
  <c r="L145" i="1"/>
  <c r="L144" i="1"/>
  <c r="L113" i="1"/>
  <c r="L112" i="1"/>
  <c r="L161" i="1"/>
  <c r="L158" i="1"/>
  <c r="L160" i="1"/>
  <c r="L159" i="1"/>
  <c r="L157" i="1"/>
  <c r="L135" i="1"/>
  <c r="S133" i="1"/>
  <c r="L120" i="1"/>
  <c r="S119" i="1"/>
  <c r="L131" i="1"/>
  <c r="L130" i="1"/>
  <c r="K146" i="1"/>
  <c r="J146" i="1"/>
  <c r="I146" i="1"/>
  <c r="X126" i="1"/>
  <c r="W126" i="1"/>
  <c r="V126" i="1"/>
  <c r="V125" i="1"/>
  <c r="X125" i="1"/>
  <c r="W125" i="1"/>
  <c r="X124" i="1"/>
  <c r="W124" i="1"/>
  <c r="V124" i="1"/>
  <c r="Y123" i="1"/>
  <c r="L123" i="1"/>
  <c r="S123" i="1"/>
  <c r="Y129" i="1"/>
  <c r="Y128" i="1"/>
  <c r="L129" i="1"/>
  <c r="L128" i="1"/>
  <c r="S127" i="1"/>
  <c r="L127" i="1"/>
  <c r="J132" i="1"/>
  <c r="L137" i="1"/>
  <c r="L122" i="1"/>
  <c r="S121" i="1"/>
  <c r="S134" i="1"/>
  <c r="L134" i="1"/>
  <c r="Y95" i="1"/>
  <c r="Y82" i="1"/>
  <c r="L106" i="1"/>
  <c r="Y117" i="1"/>
  <c r="L105" i="1"/>
  <c r="S104" i="1"/>
  <c r="L104" i="1"/>
  <c r="L99" i="1"/>
  <c r="L100" i="1"/>
  <c r="L98" i="1"/>
  <c r="AG49" i="1"/>
  <c r="L95" i="1"/>
  <c r="Y110" i="1"/>
  <c r="L268" i="1"/>
  <c r="L267" i="1"/>
  <c r="S116" i="1"/>
  <c r="L116" i="1"/>
  <c r="L108" i="1"/>
  <c r="L111" i="1"/>
  <c r="L114" i="1"/>
  <c r="L115" i="1"/>
  <c r="S118" i="1"/>
  <c r="S117" i="1"/>
  <c r="L117" i="1"/>
  <c r="L110" i="1"/>
  <c r="L60" i="1"/>
  <c r="L58" i="1"/>
  <c r="AG69" i="1"/>
  <c r="AD67" i="1"/>
  <c r="S23" i="1"/>
  <c r="L23" i="1"/>
  <c r="L22" i="1"/>
  <c r="Y63" i="1"/>
  <c r="J88" i="1"/>
  <c r="S84" i="1"/>
  <c r="L78" i="1"/>
  <c r="L92" i="1"/>
  <c r="L76" i="1"/>
  <c r="S64" i="1"/>
  <c r="S65" i="1"/>
  <c r="S66" i="1"/>
  <c r="L62" i="1"/>
  <c r="K63" i="1"/>
  <c r="S91" i="1"/>
  <c r="R70" i="1"/>
  <c r="L26" i="1"/>
  <c r="K273" i="1"/>
  <c r="I273" i="1"/>
  <c r="K272" i="1"/>
  <c r="I272" i="1"/>
  <c r="L97" i="1"/>
  <c r="L94" i="1"/>
  <c r="X72" i="1"/>
  <c r="V72" i="1"/>
  <c r="K72" i="1"/>
  <c r="I72" i="1"/>
  <c r="X71" i="1"/>
  <c r="V71" i="1"/>
  <c r="K71" i="1"/>
  <c r="I71" i="1"/>
  <c r="Y70" i="1"/>
  <c r="L70" i="1"/>
  <c r="Y69" i="1"/>
  <c r="L69" i="1"/>
  <c r="L61" i="1"/>
  <c r="K68" i="1"/>
  <c r="I68" i="1"/>
  <c r="V67" i="1"/>
  <c r="K67" i="1"/>
  <c r="I67" i="1"/>
  <c r="Y66" i="1"/>
  <c r="L66" i="1"/>
  <c r="Y65" i="1"/>
  <c r="L65" i="1"/>
  <c r="L64" i="1"/>
  <c r="L91" i="1"/>
  <c r="J87" i="1"/>
  <c r="J86" i="1"/>
  <c r="J85" i="1"/>
  <c r="J84" i="1"/>
  <c r="K83" i="1"/>
  <c r="K82" i="1"/>
  <c r="K81" i="1"/>
  <c r="L75" i="1"/>
  <c r="L74" i="1"/>
  <c r="S57" i="1"/>
  <c r="L57" i="1"/>
  <c r="L56" i="1"/>
  <c r="L54" i="1"/>
  <c r="S53" i="1"/>
  <c r="L53" i="1"/>
  <c r="L52" i="1"/>
  <c r="L51" i="1"/>
  <c r="Y50" i="1"/>
  <c r="L50" i="1"/>
  <c r="L47" i="1"/>
  <c r="Y46" i="1"/>
  <c r="L46" i="1"/>
  <c r="S55" i="1"/>
  <c r="L55" i="1"/>
  <c r="Y49" i="1"/>
  <c r="L49" i="1"/>
  <c r="L48" i="1"/>
  <c r="L42" i="1"/>
  <c r="P36" i="1"/>
  <c r="K36" i="1"/>
  <c r="J35" i="1"/>
  <c r="J34" i="1"/>
  <c r="I34" i="1"/>
  <c r="L33" i="1"/>
  <c r="L32" i="1"/>
  <c r="L31" i="1"/>
  <c r="I31" i="1"/>
  <c r="L28" i="1"/>
  <c r="L27" i="1"/>
  <c r="K25" i="1"/>
  <c r="I25" i="1"/>
  <c r="W20" i="1"/>
  <c r="K20" i="1"/>
  <c r="J20" i="1"/>
  <c r="L19" i="1"/>
  <c r="L18" i="1"/>
  <c r="L17" i="1"/>
  <c r="L16" i="1"/>
  <c r="L15" i="1"/>
  <c r="K14" i="1"/>
  <c r="J14" i="1"/>
  <c r="I14" i="1"/>
  <c r="X13" i="1"/>
  <c r="W13" i="1"/>
  <c r="V13" i="1"/>
  <c r="J12" i="1"/>
  <c r="L10" i="1"/>
  <c r="L11" i="1"/>
  <c r="K9" i="1"/>
  <c r="I9" i="1"/>
  <c r="L5" i="1"/>
  <c r="L4" i="1"/>
  <c r="P6" i="1"/>
  <c r="P8" i="1"/>
  <c r="P7" i="1"/>
  <c r="X3" i="1"/>
  <c r="W3" i="1"/>
  <c r="K3" i="1"/>
  <c r="J3" i="1"/>
  <c r="I3" i="1"/>
  <c r="K34" i="1"/>
</calcChain>
</file>

<file path=xl/sharedStrings.xml><?xml version="1.0" encoding="utf-8"?>
<sst xmlns="http://schemas.openxmlformats.org/spreadsheetml/2006/main" count="7160" uniqueCount="727">
  <si>
    <t>-&gt;</t>
  </si>
  <si>
    <t>+</t>
  </si>
  <si>
    <t>HO</t>
  </si>
  <si>
    <r>
      <t>ClO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</si>
  <si>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</si>
  <si>
    <t>OClO</t>
  </si>
  <si>
    <t>OH</t>
  </si>
  <si>
    <r>
      <t>HO</t>
    </r>
    <r>
      <rPr>
        <vertAlign val="subscript"/>
        <sz val="11"/>
        <color theme="1"/>
        <rFont val="Calibri"/>
        <family val="2"/>
        <scheme val="minor"/>
      </rPr>
      <t>2</t>
    </r>
  </si>
  <si>
    <t>0 torr</t>
  </si>
  <si>
    <t>760 torr</t>
  </si>
  <si>
    <t>∞</t>
  </si>
  <si>
    <r>
      <t>HOClO</t>
    </r>
    <r>
      <rPr>
        <vertAlign val="subscript"/>
        <sz val="11"/>
        <color theme="1"/>
        <rFont val="Calibri"/>
        <family val="2"/>
        <scheme val="minor"/>
      </rPr>
      <t>3</t>
    </r>
  </si>
  <si>
    <t>–</t>
  </si>
  <si>
    <t>ClO</t>
  </si>
  <si>
    <t>O</t>
  </si>
  <si>
    <r>
      <t>HOClO</t>
    </r>
    <r>
      <rPr>
        <vertAlign val="subscript"/>
        <sz val="11"/>
        <color theme="1"/>
        <rFont val="Calibri"/>
        <family val="2"/>
        <scheme val="minor"/>
      </rPr>
      <t>2</t>
    </r>
  </si>
  <si>
    <t>independent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</si>
  <si>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HOClO</t>
    </r>
    <r>
      <rPr>
        <vertAlign val="subscript"/>
        <sz val="11"/>
        <color theme="1"/>
        <rFont val="Calibri"/>
        <family val="2"/>
        <scheme val="minor"/>
      </rPr>
      <t>2</t>
    </r>
  </si>
  <si>
    <t>HOClO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</si>
  <si>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</si>
  <si>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HOCl</t>
  </si>
  <si>
    <t>HOOCl</t>
  </si>
  <si>
    <r>
      <t>HOOClO</t>
    </r>
    <r>
      <rPr>
        <vertAlign val="subscript"/>
        <sz val="11"/>
        <color theme="1"/>
        <rFont val="Calibri"/>
        <family val="2"/>
        <scheme val="minor"/>
      </rPr>
      <t>2</t>
    </r>
  </si>
  <si>
    <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</si>
  <si>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Cl</t>
  </si>
  <si>
    <t>HCl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</si>
  <si>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</si>
  <si>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ClOO</t>
  </si>
  <si>
    <r>
      <t>Cl</t>
    </r>
    <r>
      <rPr>
        <vertAlign val="subscript"/>
        <sz val="11"/>
        <color theme="1"/>
        <rFont val="Calibri"/>
        <family val="2"/>
        <scheme val="minor"/>
      </rPr>
      <t>2</t>
    </r>
  </si>
  <si>
    <t>H</t>
  </si>
  <si>
    <r>
      <t>ClO</t>
    </r>
    <r>
      <rPr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</si>
  <si>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</si>
  <si>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</si>
  <si>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s-ClO</t>
    </r>
    <r>
      <rPr>
        <vertAlign val="subscript"/>
        <sz val="11"/>
        <color theme="1"/>
        <rFont val="Calibri"/>
        <family val="2"/>
        <scheme val="minor"/>
      </rPr>
      <t>3</t>
    </r>
  </si>
  <si>
    <t>Reference</t>
  </si>
  <si>
    <r>
      <t>ClOClO</t>
    </r>
    <r>
      <rPr>
        <vertAlign val="subscript"/>
        <sz val="11"/>
        <color theme="1"/>
        <rFont val="Calibri"/>
        <family val="2"/>
        <scheme val="minor"/>
      </rPr>
      <t>3</t>
    </r>
  </si>
  <si>
    <r>
      <t>ClOClO</t>
    </r>
    <r>
      <rPr>
        <vertAlign val="subscript"/>
        <sz val="11"/>
        <color theme="1"/>
        <rFont val="Calibri"/>
        <family val="2"/>
        <scheme val="minor"/>
      </rPr>
      <t>2</t>
    </r>
  </si>
  <si>
    <r>
      <t>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</si>
  <si>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</si>
  <si>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</si>
  <si>
    <t>Remarks</t>
  </si>
  <si>
    <r>
      <t>NO</t>
    </r>
    <r>
      <rPr>
        <vertAlign val="subscript"/>
        <sz val="11"/>
        <color theme="1"/>
        <rFont val="Calibri"/>
        <family val="2"/>
        <scheme val="minor"/>
      </rPr>
      <t>3</t>
    </r>
  </si>
  <si>
    <r>
      <t>HNO</t>
    </r>
    <r>
      <rPr>
        <vertAlign val="subscript"/>
        <sz val="11"/>
        <color theme="1"/>
        <rFont val="Calibri"/>
        <family val="2"/>
        <scheme val="minor"/>
      </rPr>
      <t>3</t>
    </r>
  </si>
  <si>
    <t>NO</t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</si>
  <si>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</si>
  <si>
    <r>
      <t>HONO</t>
    </r>
    <r>
      <rPr>
        <vertAlign val="subscript"/>
        <sz val="11"/>
        <color theme="1"/>
        <rFont val="Calibri"/>
        <family val="2"/>
        <scheme val="minor"/>
      </rPr>
      <t>2</t>
    </r>
  </si>
  <si>
    <t>HOONO</t>
  </si>
  <si>
    <t>HNO</t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</si>
  <si>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</si>
  <si>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Reverse reaction</t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</si>
  <si>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O</t>
    </r>
    <r>
      <rPr>
        <vertAlign val="subscript"/>
        <sz val="11"/>
        <color theme="1"/>
        <rFont val="Calibri"/>
        <family val="2"/>
        <scheme val="minor"/>
      </rPr>
      <t>2</t>
    </r>
  </si>
  <si>
    <r>
      <t>NO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</si>
  <si>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HNO</t>
    </r>
    <r>
      <rPr>
        <vertAlign val="subscript"/>
        <sz val="11"/>
        <color theme="1"/>
        <rFont val="Calibri"/>
        <family val="2"/>
        <scheme val="minor"/>
      </rPr>
      <t>2</t>
    </r>
  </si>
  <si>
    <t>HONO</t>
  </si>
  <si>
    <r>
      <t>ClNO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/ClONO</t>
    </r>
  </si>
  <si>
    <r>
      <t>ClONO</t>
    </r>
    <r>
      <rPr>
        <vertAlign val="subscript"/>
        <sz val="11"/>
        <color theme="1"/>
        <rFont val="Calibri"/>
        <family val="2"/>
        <scheme val="minor"/>
      </rPr>
      <t>2</t>
    </r>
  </si>
  <si>
    <t>ClOCl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</si>
  <si>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</si>
  <si>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ClClO</t>
  </si>
  <si>
    <t>ClOOCl</t>
  </si>
  <si>
    <t>ClOClO</t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</si>
  <si>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</t>
    </r>
  </si>
  <si>
    <t>K</t>
  </si>
  <si>
    <r>
      <t>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</si>
  <si>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</si>
  <si>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NH</t>
  </si>
  <si>
    <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</si>
  <si>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</si>
  <si>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r>
      <t>ClNO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</si>
  <si>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-HONO</t>
    </r>
  </si>
  <si>
    <t>ClNO</t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</si>
  <si>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-HONO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</si>
  <si>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O</t>
    </r>
  </si>
  <si>
    <t>NOCl</t>
  </si>
  <si>
    <t>&lt;2e-16</t>
  </si>
  <si>
    <r>
      <t>NOCl</t>
    </r>
    <r>
      <rPr>
        <vertAlign val="subscript"/>
        <sz val="11"/>
        <color theme="1"/>
        <rFont val="Calibri"/>
        <family val="2"/>
        <scheme val="minor"/>
      </rPr>
      <t>2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</si>
  <si>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</si>
  <si>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</si>
  <si>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4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</si>
  <si>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NNO</t>
    </r>
  </si>
  <si>
    <t>N</t>
  </si>
  <si>
    <r>
      <t>total rate also given,  compare with HNO+NH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</si>
  <si>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</si>
  <si>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NONO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</si>
  <si>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</si>
  <si>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OO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</si>
  <si>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NH</t>
    </r>
  </si>
  <si>
    <t>HNNH</t>
  </si>
  <si>
    <t>t-HNNO</t>
  </si>
  <si>
    <t>c-HNNO</t>
  </si>
  <si>
    <r>
      <t>HN</t>
    </r>
    <r>
      <rPr>
        <vertAlign val="subscript"/>
        <sz val="11"/>
        <color theme="1"/>
        <rFont val="Calibri"/>
        <family val="2"/>
        <scheme val="minor"/>
      </rPr>
      <t>2</t>
    </r>
  </si>
  <si>
    <t>OH + H</t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</si>
  <si>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OH</t>
    </r>
  </si>
  <si>
    <t>NOH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</si>
  <si>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NH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</si>
  <si>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</si>
  <si>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-HNOH</t>
    </r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</si>
  <si>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-HNOH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</si>
  <si>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NH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</si>
  <si>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(OH)O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</si>
  <si>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OOH</t>
    </r>
  </si>
  <si>
    <r>
      <t>HN(OH)</t>
    </r>
    <r>
      <rPr>
        <vertAlign val="subscript"/>
        <sz val="11"/>
        <color theme="1"/>
        <rFont val="Calibri"/>
        <family val="2"/>
        <scheme val="minor"/>
      </rPr>
      <t>2</t>
    </r>
  </si>
  <si>
    <t>2H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</si>
  <si>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N</t>
    </r>
  </si>
  <si>
    <t>HNN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</si>
  <si>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HNO</t>
    </r>
  </si>
  <si>
    <t>H-cNOO</t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</si>
  <si>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HNOO</t>
    </r>
  </si>
  <si>
    <r>
      <t>t-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HNOO</t>
    </r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</si>
  <si>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HNOO</t>
    </r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</si>
  <si>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HNOO</t>
    </r>
  </si>
  <si>
    <r>
      <t>other pathways NH +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H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are even lower by orders of magnitude</t>
    </r>
  </si>
  <si>
    <t>HONNOH</t>
  </si>
  <si>
    <t>NHOH</t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</si>
  <si>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280–1000K</t>
    </r>
  </si>
  <si>
    <t>z-HONO</t>
  </si>
  <si>
    <r>
      <t>ONONO</t>
    </r>
    <r>
      <rPr>
        <vertAlign val="subscript"/>
        <sz val="11"/>
        <color theme="1"/>
        <rFont val="Calibri"/>
        <family val="2"/>
        <scheme val="minor"/>
      </rPr>
      <t>2</t>
    </r>
  </si>
  <si>
    <r>
      <t>NO + NO</t>
    </r>
    <r>
      <rPr>
        <vertAlign val="subscript"/>
        <sz val="11"/>
        <color theme="1"/>
        <rFont val="Calibri"/>
        <family val="2"/>
        <scheme val="minor"/>
      </rPr>
      <t>2</t>
    </r>
  </si>
  <si>
    <t>t-HONO</t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</si>
  <si>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NO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</si>
  <si>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</si>
  <si>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2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</si>
  <si>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</si>
  <si>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</si>
  <si>
    <r>
      <t>OH + O</t>
    </r>
    <r>
      <rPr>
        <vertAlign val="subscript"/>
        <sz val="11"/>
        <color theme="1"/>
        <rFont val="Calibri"/>
        <family val="2"/>
        <scheme val="minor"/>
      </rPr>
      <t>2</t>
    </r>
  </si>
  <si>
    <t>HNNO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</si>
  <si>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O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</si>
  <si>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4</t>
    </r>
  </si>
  <si>
    <t>NO + NO</t>
  </si>
  <si>
    <r>
      <t>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</si>
  <si>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</si>
  <si>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OO</t>
    </r>
  </si>
  <si>
    <r>
      <t>3</t>
    </r>
    <r>
      <rPr>
        <sz val="11"/>
        <color theme="1"/>
        <rFont val="Calibri"/>
        <family val="2"/>
        <scheme val="minor"/>
      </rPr>
      <t>O</t>
    </r>
  </si>
  <si>
    <t>ralfk@hawaii.edu</t>
  </si>
  <si>
    <r>
      <rPr>
        <i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 xml:space="preserve"> independent</t>
    </r>
  </si>
  <si>
    <t>no.</t>
  </si>
  <si>
    <t>Chemical equation</t>
  </si>
  <si>
    <t>Alternative values</t>
  </si>
  <si>
    <t>exp. value, at 220K</t>
  </si>
  <si>
    <t>exp. value, at 298K</t>
  </si>
  <si>
    <r>
      <t xml:space="preserve">tentative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160–260K, reverse reaction has a similar rate constant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</si>
  <si>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293–333K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</si>
  <si>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300–2100K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</si>
  <si>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773–923K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</si>
  <si>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333–473K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</si>
  <si>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2670–3850K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</si>
  <si>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523–693K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</si>
  <si>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473–703K, reverse reaction is faster by a few orders of magnitude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</si>
  <si>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223–318K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</si>
  <si>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2200–2800K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</si>
  <si>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600–800K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</si>
  <si>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400–2200K</t>
    </r>
  </si>
  <si>
    <t>theoretical value, at 1000K</t>
  </si>
  <si>
    <r>
      <t xml:space="preserve">theoretical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</si>
  <si>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200–500K; at 1 torr instead of 760 torr</t>
    </r>
  </si>
  <si>
    <r>
      <t>theor. value, T range: 200–500K (+ one between 500–2500K); at 1 torr instead of 760 torr; check also the reverse reaction of the unimolecular decay of ClO</t>
    </r>
    <r>
      <rPr>
        <vertAlign val="subscript"/>
        <sz val="11"/>
        <color theme="1"/>
        <rFont val="Calibri"/>
        <family val="2"/>
        <scheme val="minor"/>
      </rPr>
      <t>3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</si>
  <si>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</si>
  <si>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</si>
  <si>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can be regarded as reverse reaction of the association of ClO and ClO</t>
    </r>
    <r>
      <rPr>
        <vertAlign val="subscript"/>
        <sz val="11"/>
        <color theme="1"/>
        <rFont val="Calibri"/>
        <family val="2"/>
        <scheme val="minor"/>
      </rPr>
      <t>3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</si>
  <si>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500–2500K; reverse reaction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</si>
  <si>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300–2500K</t>
    </r>
  </si>
  <si>
    <t>theor. value, T range: 300–2500K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</si>
  <si>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160–1000K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</si>
  <si>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</si>
  <si>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</si>
  <si>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220–2000K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</si>
  <si>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150–2000K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</si>
  <si>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200–2400K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</si>
  <si>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296–3000K</t>
    </r>
  </si>
  <si>
    <t>exp. value, at 349K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</si>
  <si>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300–550K; via TS1</t>
    </r>
  </si>
  <si>
    <t>theor. value, T range: 300–3000K; end-product: IM1</t>
  </si>
  <si>
    <t>theor. value, T range: 300–550K; via TS3; at 1 torr instead of vacuum, at 100 bar instead of infinite</t>
  </si>
  <si>
    <t>theor. value, T range: 300–550K; via TS2; at 1 torr instead of vacuum, at 100 bar instead of infinite</t>
  </si>
  <si>
    <t>theor. value, T range: 300–3000K</t>
  </si>
  <si>
    <t>theor. value T range: 200–550K; at 1 torr instead of vacuum, at 100 bar instead of infinite</t>
  </si>
  <si>
    <r>
      <t xml:space="preserve"> alternative pathways yielding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NO +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-,</t>
    </r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-HONO are negligible</t>
    </r>
  </si>
  <si>
    <t>theor. value, T range: 300–2000K</t>
  </si>
  <si>
    <t>theor. value, T range: 400–3000K</t>
  </si>
  <si>
    <t>theor. value, T range: 300–5000K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</si>
  <si>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1000–2000K</t>
    </r>
  </si>
  <si>
    <r>
      <t xml:space="preserve">theor. value;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300–5000K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</si>
  <si>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300–5000K</t>
    </r>
  </si>
  <si>
    <t>theor. value; no equation was given, based on Fig. 5</t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</si>
  <si>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1000–1380K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</si>
  <si>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200–600K; reaction becomes first-order at high-pressure limit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</si>
  <si>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between 150 and 900–2000K; reaction becomes first-order at high-pressure limit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</si>
  <si>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180–500K; reaction becomes first-order at high-pressure limit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</si>
  <si>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</si>
  <si>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300–1500K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</si>
  <si>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298–1000K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</si>
  <si>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200–700K</t>
    </r>
  </si>
  <si>
    <r>
      <t xml:space="preserve">experimental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248–312K</t>
    </r>
  </si>
  <si>
    <r>
      <t xml:space="preserve">experimental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338–365K</t>
    </r>
  </si>
  <si>
    <t>theoretical value, T range: 500–3000K (+ one between 300–500K)</t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</si>
  <si>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243–400K;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between 1 and 7 mbar</t>
    </r>
  </si>
  <si>
    <r>
      <t xml:space="preserve">experimental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293–473K; total rate constant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</si>
  <si>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</si>
  <si>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alternative products Cl +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are not expected to form</t>
    </r>
  </si>
  <si>
    <r>
      <t>theor. value, T range: 200–3000K; other pathway ClO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 negligible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</si>
  <si>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290–566K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</si>
  <si>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240–1060K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</si>
  <si>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200–1200K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</si>
  <si>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1300–1700K</t>
    </r>
  </si>
  <si>
    <t>exp. value, at 300K</t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</si>
  <si>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200–400K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</si>
  <si>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850–1350K</t>
    </r>
  </si>
  <si>
    <t>exp. value, at 295K</t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</si>
  <si>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298–2200K</t>
    </r>
  </si>
  <si>
    <r>
      <t xml:space="preserve">exp. + 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</si>
  <si>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100–1000K,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</si>
  <si>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220–430K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</si>
  <si>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240–370K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</si>
  <si>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298–396K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</si>
  <si>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250–400K</t>
    </r>
  </si>
  <si>
    <t>database, T range: 220–300K</t>
  </si>
  <si>
    <t>database, T range: 160–300K</t>
  </si>
  <si>
    <t>database, T range: 230–360K</t>
  </si>
  <si>
    <t>database, T range: 200–300K</t>
  </si>
  <si>
    <t>database, T range: 220–390K</t>
  </si>
  <si>
    <t>database, T range: 260–310K</t>
  </si>
  <si>
    <t>database, T range: 260–390K</t>
  </si>
  <si>
    <t>database, T range: 220–430K</t>
  </si>
  <si>
    <t>database, T range: 174–602K</t>
  </si>
  <si>
    <t>database, T range: 200–420K</t>
  </si>
  <si>
    <t>database, T range: 210–500K</t>
  </si>
  <si>
    <t>database, T range: 200–500K</t>
  </si>
  <si>
    <t>database, T range: 250–730K</t>
  </si>
  <si>
    <t>database, at 298K</t>
  </si>
  <si>
    <t>database, T range: 290–720K</t>
  </si>
  <si>
    <t>database, T range: 230–450K</t>
  </si>
  <si>
    <t>database, T range: 300–3000K</t>
  </si>
  <si>
    <t>database, T range: 298–2000K</t>
  </si>
  <si>
    <t>database, T range: 500–2500K</t>
  </si>
  <si>
    <t>database, T range: 550–3000K</t>
  </si>
  <si>
    <t>database, T range: 298–3000K</t>
  </si>
  <si>
    <t>database, T range: 250–3000K</t>
  </si>
  <si>
    <t>database, T range: 600–3000K</t>
  </si>
  <si>
    <t>database, T range: 350–3000K</t>
  </si>
  <si>
    <t>database, T range: 298–480K</t>
  </si>
  <si>
    <t>database, T range: 1200–3500K</t>
  </si>
  <si>
    <t>database, T range: 200–350K</t>
  </si>
  <si>
    <t>database, T range: 230–4200K</t>
  </si>
  <si>
    <t>database, T range: 300–2500K</t>
  </si>
  <si>
    <t>database, T range: 2020–3050K</t>
  </si>
  <si>
    <t>database, T range: 232–1270K</t>
  </si>
  <si>
    <t>database, T range: 200–1200K</t>
  </si>
  <si>
    <t>database, T range: 200–2500K</t>
  </si>
  <si>
    <t>database, T range: 200–1500K</t>
  </si>
  <si>
    <t>database, T range: 200–400K</t>
  </si>
  <si>
    <t>database, T range: 220–420K</t>
  </si>
  <si>
    <t>database, T range: 250–400K</t>
  </si>
  <si>
    <t>database, T range: 220–400K</t>
  </si>
  <si>
    <t>database, T range: 300–1000K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</si>
  <si>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500–3000K (+ one between 300 and 500K)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</si>
  <si>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500–2500K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</si>
  <si>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200–1000K (+ one between 1000 and 2000K)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</si>
  <si>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 between 200–700 and 200–3000K; reverse reaction (see no. 9) comparable</t>
    </r>
  </si>
  <si>
    <r>
      <t>theor. value, T range: 200–2500K; main product, reaction with ClOClO is important (and negligible with ClOOCl and ClClO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below 700 K)</t>
    </r>
  </si>
  <si>
    <r>
      <t xml:space="preserve">exp. + 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 = 223–318 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</si>
  <si>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alternative pathway OH +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seems to be a bit faster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</si>
  <si>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200–367K</t>
    </r>
  </si>
  <si>
    <t>theor. value, T ranges: between 200–500 and 200–1000K; total value also given</t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</si>
  <si>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240–400K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</si>
  <si>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160–500K; reaction becomes first-order at high-pressure limit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</si>
  <si>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</si>
  <si>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200–600K; the other pathway ClNO +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seems to be more important (but still slow)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</si>
  <si>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220–2000K; total value also given, reverse reaction comparable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</si>
  <si>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300–3000K; comparable with reverse reaction</t>
    </r>
  </si>
  <si>
    <r>
      <t xml:space="preserve">theor. value, T range: 300–3000K; reaction depends on whether the reactant is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- or </t>
    </r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-HONO, rate is higher by 3 orders of magnitude in the first case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</si>
  <si>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alternative products Cl +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not important at this temperature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</si>
  <si>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220–2000K; total value also given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</si>
  <si>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230–380K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</si>
  <si>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200–400K; alternative reactions (two above) not relevant at 500K, see text; reverse reaction is faster at this temperature, via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</si>
  <si>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200–1500K; via ClOOCl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</si>
  <si>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200–1500K; via ClOClO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</si>
  <si>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180–500K; reverse reaction is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</si>
  <si>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150–2000K; reverse reaction is faster</t>
    </r>
  </si>
  <si>
    <t>theor. value, T ranges: 150–700K (+ one from 700–2000) and 150–2000K; reverse reaction is faster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</si>
  <si>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200–2500K; HOCl +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NH is not important pathway below 1500K, total value also given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</si>
  <si>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200–600K; reverse reaction is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</si>
  <si>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200–1000K; via ClONO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</si>
  <si>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</si>
  <si>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500–2500K; via HOOCl, total value also given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</si>
  <si>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150–1000K; via HOOOCl, total rate constant also given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</si>
  <si>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500–2500K; via HOOOCl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</si>
  <si>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1000–4000K</t>
    </r>
  </si>
  <si>
    <t>theor. value, at 1000K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</si>
  <si>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150–2000K; reaction rate with triplet oxygen is two orders of magnitude lower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</si>
  <si>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430–470K, reverse reaction is faster</t>
    </r>
  </si>
  <si>
    <r>
      <t xml:space="preserve">exp. + 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500–700K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</si>
  <si>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190–360K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</si>
  <si>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200–600K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</si>
  <si>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300–1000K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</si>
  <si>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260–430K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</si>
  <si>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2900–7000K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</si>
  <si>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250–730K, reverse reaction is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</si>
  <si>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200–3200K; comparable with reverse reaction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</si>
  <si>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200–1015K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</si>
  <si>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200–2400K; comparable with reverse reaction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</si>
  <si>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2200–3500K; reverse reactions are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</si>
  <si>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1950–2100K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</si>
  <si>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300–2500K; reverse reaction is faster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</si>
  <si>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300–345K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</si>
  <si>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300–3000K; reverse reaction much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</si>
  <si>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300–3000K; total value also given, reverse reactions are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</si>
  <si>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at 1 torr instead of vacuum, at 100bar instead of infinite, reverse reaction is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</si>
  <si>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250–2000K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</si>
  <si>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300–2500K; reverse reaction slightly faster, but other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OH reactions are even faster (see below)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</si>
  <si>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500–2000K</t>
    </r>
  </si>
  <si>
    <r>
      <t>theor. branching ratios (NH2 + OH: 90%, HN…H2O: 6%, H2NO…H: 2%, t-HNOH + H: 1%); via excited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OH 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</si>
  <si>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490–1780K, reverse reaction in same order of magnitude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</si>
  <si>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2200–4000K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</si>
  <si>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ranges: 300–2500 and 200–2500K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</si>
  <si>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500–2250K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</si>
  <si>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300–3000K; check reverse reactions at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NO!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</si>
  <si>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200–1900K; via excited HNOH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</si>
  <si>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200–1900K; via excited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</si>
  <si>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290–1900K, alternative reactions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+ O and HNO + OH does not occur due to high barriers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</si>
  <si>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channel producing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+ H seems faster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</si>
  <si>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450–2500K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</si>
  <si>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TS: (A) in reference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</si>
  <si>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TS: (B) in reference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</si>
  <si>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TS: (C) in reference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</si>
  <si>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via TSs (B) and (C) 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</si>
  <si>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via TS (B)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</si>
  <si>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via TS (A)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</si>
  <si>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300–2000K; via TS (A), T range: 290–1900K, alternative reaction HNO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does not occur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</si>
  <si>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1100–1800K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</si>
  <si>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2500–3400K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</si>
  <si>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300–4000K</t>
    </r>
  </si>
  <si>
    <t>exp. value, at 298K; only branching ratios are known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</si>
  <si>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200–2500K; another pathway leading to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O negligible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</si>
  <si>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214–2500K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</si>
  <si>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250–3000K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</si>
  <si>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1500–2500K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</si>
  <si>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1000–2000K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</si>
  <si>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700–2500K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</si>
  <si>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1000–5000K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</si>
  <si>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1370–4080K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</si>
  <si>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1075–3340K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</si>
  <si>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500–5000K</t>
    </r>
  </si>
  <si>
    <t>theor. value, at 298K</t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</si>
  <si>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300–3000K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</si>
  <si>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1800–2700K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</si>
  <si>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300–2500K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</si>
  <si>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80–420K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</si>
  <si>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900–1420K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</si>
  <si>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200–2500K; check reverse reactions at NH + OH!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</si>
  <si>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200–450K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</si>
  <si>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1200–3500K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</si>
  <si>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260–300K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</si>
  <si>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200–400K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</si>
  <si>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2700–4700K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</si>
  <si>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290–380K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</si>
  <si>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232–403</t>
    </r>
  </si>
  <si>
    <t>exp. value, at 296K</t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</si>
  <si>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1300–3000K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</si>
  <si>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1500–4500K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</si>
  <si>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298–1500; first-order value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</si>
  <si>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300–3500K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</si>
  <si>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1400–2500K, reverse reaction occurs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</si>
  <si>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300–500K</t>
    </r>
  </si>
  <si>
    <t>database, T range: 290–380K</t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</si>
  <si>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200–2500K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</si>
  <si>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 216–413K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</si>
  <si>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298–633K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</si>
  <si>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750–1500K</t>
    </r>
  </si>
  <si>
    <t>theor. value, at 297K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</si>
  <si>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295–520K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</si>
  <si>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298–329K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</si>
  <si>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623–773K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</si>
  <si>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623–673K</t>
    </r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</si>
  <si>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200–2200K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</si>
  <si>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500–1500K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</si>
  <si>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298–410K</t>
    </r>
  </si>
  <si>
    <t>theor. value, at 500K</t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</si>
  <si>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713–773K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</si>
  <si>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950–1050K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</si>
  <si>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first-order value</t>
    </r>
  </si>
  <si>
    <t>1. Zhu, R. S.; Lin, M. C. Towards Reliable Prediction of Kinetics and Mechanisms for Elementary Processes: Key Combustion Reactions of Ammonium Perchlorate.   In Theoretical and Computational Chemistry; Politzer, P. A., Murray, J. S., Eds.; Elsevier: New Orleans, 2003, Vol. 13, pp. 373–443.</t>
  </si>
  <si>
    <r>
      <t xml:space="preserve">2. Zhu, R. S.; Lin, M. C. </t>
    </r>
    <r>
      <rPr>
        <i/>
        <sz val="11"/>
        <color theme="1"/>
        <rFont val="Calibri"/>
        <family val="2"/>
        <scheme val="minor"/>
      </rPr>
      <t>Ab initio</t>
    </r>
    <r>
      <rPr>
        <sz val="11"/>
        <color theme="1"/>
        <rFont val="Calibri"/>
        <family val="2"/>
        <scheme val="minor"/>
      </rPr>
      <t xml:space="preserve"> study of ammonium perchlorate combustion initiation processes: unimolecular decomposition of perchloric acid and the related OH + ClO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reaction. PhysChemComm, 2001, 25, 1–6.</t>
    </r>
  </si>
  <si>
    <r>
      <t>3. Zhu, R. S.; Lin, M. C. An Ab Initio Chemical Kinetic Study on the Reactions of H, OH, and Cl with HOClO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Int. J. Chem. Kinet., 2010, 42, 253–261.</t>
    </r>
  </si>
  <si>
    <t>1</t>
  </si>
  <si>
    <r>
      <t>6. Xu, Z. F.; Lin, M. C. Computational Studies on the Kinetics and Mechanisms for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Reactions with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= 0–4) Radicals. J. Phys. Chem. A, 2007, 111, 584–590.</t>
    </r>
  </si>
  <si>
    <t>6</t>
  </si>
  <si>
    <r>
      <t>5. Xu, Z. F.;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IX. Combination and disproportionation reactions of ClO and s–ClO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radicals. J. Chem. Phys., 2003, 119, 8897–8904.</t>
    </r>
  </si>
  <si>
    <r>
      <t>4. Xu, Z. F.; Lin, M. C. Computational Studies on Metathetical and Redox Processes of HOCl in the Gas Phase: (II) Reactions with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= 1–4). J. Phys. Chem. A, 2010, 114, 833–838.</t>
    </r>
  </si>
  <si>
    <r>
      <t>7. Zhu, R. S.;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2. Unimolecular Decomposition of s-ClO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the Bimolecular O + OClO Reaction. J. Phys. Chem. A, 2002, 106, 8386–8390.</t>
    </r>
  </si>
  <si>
    <t>9</t>
  </si>
  <si>
    <r>
      <t>9. Zhu, R. S.; Lin, M. C. Ab initio chemical kinetics for reactions of ClO with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isomers. J. Chem. Phys., 2011, 134, 054307 (6 pp.).</t>
    </r>
  </si>
  <si>
    <r>
      <t>8. Colussi, A.J.; Sander, S.P.; Friedl, R.R. Temperature dependence and mechanism of the reaction between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π) and chlorine dioxide. J. Phys. Chem., 1992, 96, 4442–4445.</t>
    </r>
  </si>
  <si>
    <r>
      <t>HOONO / HNO</t>
    </r>
    <r>
      <rPr>
        <vertAlign val="subscript"/>
        <sz val="11"/>
        <color theme="1"/>
        <rFont val="Calibri"/>
        <family val="2"/>
        <scheme val="minor"/>
      </rPr>
      <t>3</t>
    </r>
  </si>
  <si>
    <t>database, T range: 230–420K; see also reaction no. 103</t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</si>
  <si>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250–420K; see alternative products at reverse reaction of no. 80</t>
    </r>
  </si>
  <si>
    <t>&lt; 2.00E-16</t>
  </si>
  <si>
    <r>
      <t>11. Hansen, J. C.; Friedl, R. R.; Sander, S. P. Kinetics of the OH+ClOOCl and OH+Cl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reactions: Experiment and theory. J. Phys. Chem. A, 2008, 112, 9229–9237.</t>
    </r>
  </si>
  <si>
    <t>11</t>
  </si>
  <si>
    <r>
      <t>12. Zhu, R. S.;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VIII. Isomerization and decomposition of ClO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radicals and related bimolecular processes. J. Chem. Phys., 2003, 119, 2075–2082.</t>
    </r>
  </si>
  <si>
    <r>
      <t>13. Li, W.-K.; Lau, K.-C.; Ng, C. Y.; Baumgärtel, H.; Weitzel, K.-M. Gaussian-2 and Gaussian-3 Study of the Energetics and Structures of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and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n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 1–7. J. Phys. Chem. A, 2000, 104, 3197–3203.</t>
    </r>
  </si>
  <si>
    <t>13</t>
  </si>
  <si>
    <r>
      <t>14. Friedl, R. R.; Sander, S. P.; Yung, Y. L. Chloryl nitrate: a novel product of the OClO +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M recombination. J. Phys. Chem., 1992, 96, 7490–7493.</t>
    </r>
  </si>
  <si>
    <t>14</t>
  </si>
  <si>
    <r>
      <t>15. Xu, Z. F.; Zhu, R.;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3. Kinetics and Mechanism for the OH + OClO Reaction. J. Phys. Chem. A, 2003, 107, 1040–1049.</t>
    </r>
  </si>
  <si>
    <r>
      <t>16.  Poulet, G.; Zagogianni, H.; Le Bras, G. Kinetics and mechanism of the OH + ClO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reaction. Int. J. Chem. Kinet., 1986, 18, 847–859.</t>
    </r>
  </si>
  <si>
    <r>
      <t>17. Gleason, J. F.; Nesbitt, F. L.; Stief, L. J. Temperature dependence of the reaction between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 and OClO at low pressure. J. Phys. Chem., 1994, 98, 126–131.</t>
    </r>
  </si>
  <si>
    <r>
      <t>18. Wategaonkar, S. J.; Setser, D. W. Infrared chemiluminescence studies of H atom reactions with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CINO, F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CF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OF, ClO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and ClO. J. Chem. Phys., 1989, 90, 251–264.</t>
    </r>
  </si>
  <si>
    <r>
      <t>19. Baer, S.; Hippler, H.; Rahn, R.; Siefke, M.; Seitzinger, N.; Troe, J. Thermodynamic and kinetic properties of the reaction Cl +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M = ClOO + M in the range 160–300 K and 1–1000 bar. J. Chem. Phys., 1991, 95, 6463–6470.</t>
    </r>
  </si>
  <si>
    <t>20</t>
  </si>
  <si>
    <t>theor. value, T range: 150–1000K; values taken from Table 2 in ref. 1, do not differ too much from ref. 12</t>
  </si>
  <si>
    <r>
      <t xml:space="preserve">database,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160–300K</t>
    </r>
  </si>
  <si>
    <t>19</t>
  </si>
  <si>
    <t>20. DeMore, W. B.; Sander, S. P.; Golden, D. M.; Hampson, R. F.; Kurylo, M. J.; Howard, C. J.; Ravishankara, A. R.; Kolb, C. E.; Molina, M. J. Chemical kinetics and photochemical data for use in stratospheric modeling. Evaluation number 12. JPL Publication 97-4, 1997, 1–266.</t>
  </si>
  <si>
    <t>21. Raghunath, P.; Lin, M. C. Ab initio chemical kinetics for the ClOO + NO reaction: Effects of temperature and pressure on product branching formation. J. Chem. Phys., 2012, 137, 014315 (7 pp.)</t>
  </si>
  <si>
    <t>22. Martin, H.; Kohnlein, E. Die Reaktion des Chlordioxyds mit Nitrosylchlorid in der Gasphase. Z. Phys. Chem. (Neue Folge), 1958, 17, 375–398.</t>
  </si>
  <si>
    <t>23. Basco, N.; Dogra, S. K. Reactions of halogen oxides studied by flash photolysis. I. The flash photolysis of chlorine dioxide. Proc. R. Soc. London A, 1971, 323, 29–68.</t>
  </si>
  <si>
    <t>24. Baulch, D. L.; Duxbury, J.; Grant, S. J.; Montague, D. C. Evaluated kinetic data for high temperature reactions. Volume 4. Homogeneous gas phase reactions of halogen- and cyanide- containing species. J. Phys. Chem. Ref. Data, 1981, 10, 465–592.</t>
  </si>
  <si>
    <t>24</t>
  </si>
  <si>
    <t>database, T range: 174–602K; O state not specified, see also reaction no. 91</t>
  </si>
  <si>
    <t>database, T range: 174–602K; O state not specified see also reverse reaction no. 68</t>
  </si>
  <si>
    <r>
      <t>25. Xu, Z. F.; Lin, M. C. Computational Studies on Metathetical and Redox Processes of HOCl in Gas Phase. III. Its Self-Reaction and Interactions with HNO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= 1–3). J. Phys. Chem. A, 2010, 114, 5320–5326.</t>
    </r>
  </si>
  <si>
    <t>26. Wang, L.; Liu, J.-Y.; Li, Z.-S.; Huang, X.-R.; Sun, C.-C. Theoretical Study and Rate Constant Calculation of the Cl + HOCl and H + HOCl Reactions. J. Phys. Chem. A, 2003, 107, 4921–4928.</t>
  </si>
  <si>
    <t>26</t>
  </si>
  <si>
    <r>
      <t>27. Bryukov, M. G.; Knyazev, V. D.; Lomnicki, S. M.; McFerrin, C. A.; Dellinger, B. Temperature-dependent kinetics of the gas-phase reactions of OH with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, and 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. J. Phys. Chem. A, 2004, 108, 10464–10472.</t>
    </r>
  </si>
  <si>
    <r>
      <t>28. Xu, Z. F.; Lin,  M. C. Computational Studies on Metathetical and Redox Processes of HOCl in the Gas Phase. 1. Reactions with H, O, HO, and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Phys. Chem. A, 2009, 113, 8811–8817.</t>
    </r>
  </si>
  <si>
    <t>28</t>
  </si>
  <si>
    <r>
      <t>29. Wang, L.; Liu, J.Y.; Li, Z.S.; Sun, C.C. Ab initio and DFT theoretical calculation on the reactions O 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 studies and rate constants atoms with HOX (X = Cl, Br). Chem. Phys. Lett., 2005, 411, 225–232.</t>
    </r>
  </si>
  <si>
    <t>30. Martin, H.; Meise, W.; Engelmann, E. Über die Kinetik der Reaktion des Dichlormonoxyds mit Stickstoffdioxyd in der Gasphase und im flüssigen Kondensat. Z. Phys. Chem. (Neue Folge), 1960, 24, 285–299.</t>
  </si>
  <si>
    <r>
      <t>31. Zhu, R. S.;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VII. Isomers of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their roles in the ClO + OClO reaction. J. Chem. Phys., 2003, 118, 8645–8655.</t>
    </r>
  </si>
  <si>
    <r>
      <t>32. Zhu, R. S.;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IV. Kinetics and mechanism for the self-reaction of ClO radicals. J. Chem. Phys., 2003, 118, 4094–4106.</t>
    </r>
  </si>
  <si>
    <t>33. Gritson, V. T.; Panfilov, V. N.; Suchanov, T. T. Determination of rate constant between atomic chlorine and chlorine dioxide. React. Kinet. Catal. Lett., 1975, 2, 265–271.</t>
  </si>
  <si>
    <t>34. Xu, Z. F.; Lin, M. C. Ab Initio Chemical Kinetic Study on Cl + ClO and Related Reverse Processes. J. Phys. Chem. A, 2010, 114, 11477–11482.</t>
  </si>
  <si>
    <t>34</t>
  </si>
  <si>
    <r>
      <t>35. Zhu, R. S.; Lin, M. C. Ab Initio Study of the ClO +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Reaction: Prediction of the Total Rate Constant and Product Branching Ratios. J. Phys. Chem. A, 2007, 111, 3977–3983.</t>
    </r>
  </si>
  <si>
    <r>
      <t>36. Zhu, R. S.; Lin, M. C. Ab initio chemical kinetics for ClO reactions with HO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and 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= 1, 2): A review. Comput. Theor. Chem., 2011, 965, 328–339.</t>
    </r>
  </si>
  <si>
    <r>
      <t>37. Zhu, R. S.;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Reactions: Prediction of the Rate Constants of ClO + NO for the Forward and Reverse Processes. ChemPhysChem, 2004, 5, 1864–1870.</t>
    </r>
  </si>
  <si>
    <r>
      <t>38. Zhu, R. S.; Xu, Z. F.;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reactions. I. Kinetics and mechanism for the OH+ClO reaction. J. Chem. Phys., 2002, 116, 7452–7460.</t>
    </r>
  </si>
  <si>
    <r>
      <t>39. Xu, Z. F.; Zhu, R. S.; Lin, M. C. Ab Initio Studies of ClO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Reactions: VI. Theoretical Prediction of Total Rate Constant and Product Branching Probabilities for the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ClO Reaction. J. Phys. Chem. A, 2003, 107, 3841–3850.</t>
    </r>
  </si>
  <si>
    <t>&lt; 5.06E-13</t>
  </si>
  <si>
    <t>40. Su, F.; Calvert, J. G.; Lindley, C. R.; Uselman, W. M.; Shaw, J. H. A Fourier Transform Infrared Kinetic Study of HOCl and Its Absolute Integrated Infrared Band Intensities. J. Phys. Chem., 1979, 83, 912–920.</t>
  </si>
  <si>
    <t>41. Mayer, S. W.; Schieler, L.; Johnston, H. S. Computation of high-temperature rate constants for bimolecular reactions of combustion products. Symp. Int. Combust. Proc., 1967, 11, 837–844.</t>
  </si>
  <si>
    <t>42. Ge, Y. B.; Gordon, M. S.; Battaglia, F.; Fox, R. O. Theoretical Study of the Pyrolysis of Methyltrichlorosilane in the Gas Phase. 3. Reaction Rate Constant Calculations. J. Phys. Chem A, 2010, 114, 2384–2392.</t>
  </si>
  <si>
    <t>43. Ashmore, P. G.; Spencer, M. S. Concurrent molecular and chlorine atom mechanisms in the reversible dissociation of nitrosyl chloride. Trans. Faraday Soc., 1959, 55, 1868–1883.</t>
  </si>
  <si>
    <t>44. Gao, Y. D.; Alecu, I. M.; Hsieh, P. C.; Morgan, B. P.; Marshall, P.; Krasnoperov, L. N. Thermochemistry is not a lower bound to the activation energy of endothermic reactions: A kinetic study of the gas-phase reaction of atomic chlorine with ammonia. J. Phys. Chem. A, 2006, 110, 6844–6850.</t>
  </si>
  <si>
    <t>45. Blitz, M. A.; Shannon, R. J.; Marshall, P.; Pilling, M. J. An Experimental and Theoretical Study of the Reaction Between NH + SO. Z. Phys. Chem., 2010, 224, 1009–1024.</t>
  </si>
  <si>
    <r>
      <t>46. Lesar, A.; Hodoscek, M.; Senegacnik, M. Experimental and theoretical studies of the decomposition of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catalyzed by chlorine. J. Chem. Phys., 1996, 105, 917–926.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</si>
  <si>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300–2100K</t>
    </r>
  </si>
  <si>
    <t>47. Cobos, C. J.; Troe, J. Theory of thermal unimolecular reactions at high pressures. II. Analysis of experimental results. J. Chem. Phys., 1985, 83, 1010–1015.</t>
  </si>
  <si>
    <t>48. Bryukov, M. G.; Dellinger, B.; Knyazev, V. D. Kinetics of the gas-phase reaction of OH with HCl. J. Phys. Chem. A, 2006, 110, 936–943.</t>
  </si>
  <si>
    <t>48</t>
  </si>
  <si>
    <t>49. Garrett, B.C.; Truhlar, D.G. Generalized transition state theory. Canonical variational calculations using the bond energy-bond order method for bimolecular reactions of combustion products. J. Am. Chem. Soc., 1979, 101, 5207–5217.</t>
  </si>
  <si>
    <t>10. Atkinson, R.; Baulch, D. L.; Cox, R. A.; Crowley, J. N.; Hampson, R. F.; Hynes, R. G.; Jenkin, M. E.; Rossi, M. J.; Troe, J. Evaluated kinetic and photochemical data for atmospheric chemistry: Volume III – Gas-phase reactions of inorganic halogens. Atmos. Chem. Phys., 2007, 7, 981–1191.</t>
  </si>
  <si>
    <t>50. Atkinson, R.; Baulch, D. L.; Cox, R. A.; Crowley, J. N.; Hampson, R. F, Jr.; Kerr, J. A.; Rossi, M. J.; Troe, J. Summary of Evaluated Kinetic and Photochemical Data for Atmospheric Chemistry. Web Version February 2006</t>
  </si>
  <si>
    <t>51. Higashihara, T.; Saito, K.; Murakami, I. The reaction of hydrogen chloride with nitrogen oxide in shock waves. Bull. Soc. Chem. Jpn., 1978, 51, 3426–3429.</t>
  </si>
  <si>
    <r>
      <t>52. Lu, X.; Park, J.; Lin, M. C. Gas Phase Reactions of HONO with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and HCl: Ab Initio and TST Study. J. Phys. Chem. A, 2000, 104, 8730–8738.</t>
    </r>
  </si>
  <si>
    <t>53. Rosser, W. A., Jr.; Wise, H. Kinetics of the gas phase oxidation of hydrogen chloride and of hydrogen bromide by nitrogen dioxide. J. Phys. Chem., 1960, 64, 602–604.</t>
  </si>
  <si>
    <t>54. Canosa-Mas, C. E.; Smith, S. J.; Toby, S.; Wayne, R. P. Laboratory studies of the reactions of the nitrate radical with chloroform, methanol, hydrogen chloride and hydrogen bromide. J. Chem. Soc. Faraday Trans. 2, 1989, 85, 709–725.</t>
  </si>
  <si>
    <t>55. Ravishankara, A. R.; Wine, P. H.; Wells, J.R.; Thompson, R. L. Kinetic study of the reaction of OH with HCl from 240–1055 K. Int. J. Chem. Kinet., 1985, 17, 1281–1297.</t>
  </si>
  <si>
    <r>
      <t>56. Xie, T.; Bowman, J. M.; Peterson, K. A.; Ramachandran B. Quantum calculations of the rate constant for the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P)+HCl reaction on new ab initio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A'' and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A' surfaces. J. Chem. Phys., 2003, 119, 9601–9608.</t>
    </r>
  </si>
  <si>
    <r>
      <t>57. Allison, T. C.; Lynch, G. C.; Truhlar, D. G.; Gordon, M. S. An improved potential energy surface for the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Cl system and its use for calculations of rate coefficients and kinetic isotope effects. J. Phys. Chem., 1996, 100, 13575–13587.</t>
    </r>
  </si>
  <si>
    <r>
      <t>58. Adusei, G. Y.; Fontijn, A. Experimental studies of Cl-atom reactions at high temperatures: Cl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→ HCl + H from 291 to 1283 K. Symp. Int. Combust. Proc., 1994, 25, 801–808.</t>
    </r>
  </si>
  <si>
    <r>
      <t>59. Kumaran, S. S.; Lim, K. P.; Michael, J. V. Thermal rate constants for the Cl+H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Cl+D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reactions between 296 and 3000 K. J. Chem. Phys., 1994, 101, 9487–9498.</t>
    </r>
  </si>
  <si>
    <t>60. Fisher, C. J. A Study of Rich Ammonia/Oxygen/Nitrogen Flames. Combust. Flame, 1977, 30, 143–149.</t>
  </si>
  <si>
    <t>61. Davidson, D. F.; Kohse-Hoinghaus, K.; Chang, A. Y.; Hanson, R. K. A pyrolysis mechanism for ammonia. Int. J. Chem. Kinet., 1990, 22, 513–535.</t>
  </si>
  <si>
    <t>63. Hanson, R. K.; Salimian, S. Survey of rate constants in the N/H/O system. In Combustion Chemistry; Gardiner, W.C., Jr., ed.; Springer-Verlag, NY.</t>
  </si>
  <si>
    <t>63</t>
  </si>
  <si>
    <t>62. Pagsberg, P. B.; Eriksen, J.; Christensen, H. C. Pulse Radiolysis of Gaseous Ammonia-Oxygen Mixtures. J. Phys. Chem., 1979, 83, 582–590.</t>
  </si>
  <si>
    <r>
      <t>64. Klippenstein, S. J.; Harding, L. B.; Ruscic, B.; Sivaramakrishnan, R.; Srinivasan, N. K.; Su, M. C.; Michael, J. V. Thermal Decomposition of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OH and Subsequent Reactions: Ab Initio Transition State Theory and Reflected Shock Tube Experiments. J. Phys. Chem. A, 2009, 113, 10241–10259.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</si>
  <si>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NN</t>
    </r>
  </si>
  <si>
    <r>
      <t>65. M.; Romming, H.-J.; Wagner, H.Gg. A direct measurement of the reaction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NH → 2NH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Ber. Bunsenges Phys. Chem., 1994, 98, 1332–1334. </t>
    </r>
  </si>
  <si>
    <t>66. Mantei, K. A.; Bair, E. J. Reactions of nitrogen-hydrogen radicals. III. Formation and disappearance of NH radicals in the photolysis of ammonia. J. Chem. Phys., 1968, 49, 3248–3256.</t>
  </si>
  <si>
    <r>
      <t>67. Xu, S. C.; Lin, M. C. Ab Initio Chemical Kinetics for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Reactions, Part I: Kinetics and Mechanism for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HNO. Int. J. Chem. Kinet., 2009, 41, 667–677.</t>
    </r>
  </si>
  <si>
    <r>
      <t>68. Mebel, A. M.; Lin, M. C. Reactions of 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with nitrogen hydrides. Int. Rev. Phys. Chem., 1997, 16, 249–266.</t>
    </r>
  </si>
  <si>
    <r>
      <t>69. Thaxton, A. G.; Hsu, C. C.; Lin, M. C. Rate constant for the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→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HONO reaction: comparison of kinetically modeled and predicted results. Int. J. Chem. Kinet., 1997, 29, 245–251.</t>
    </r>
  </si>
  <si>
    <r>
      <t>70. Xu, S. C.; Lin, M. C. Ab Initio Chemical Kinetics for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Reactions, Part II: Kinetics and Mechanism for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HONO. Int. J. Chem. Kinet., 2009, 41, 678–688.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</si>
  <si>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300–650K; total rate constant also given (very similar as the other two pathways are negligible)</t>
    </r>
  </si>
  <si>
    <r>
      <t>71. Musin, R. N.; Lin, M. C. Novel bimolecular reactions between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 the gas phase. J. Phys. Chem. A, 1998, 102, 1808–1814.</t>
    </r>
  </si>
  <si>
    <r>
      <t>72. Xu, S. C.; Lin, M. C. Ab Initio Chemical Kinetics for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Reactions, Part III: Kinetics and Mechanism for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HONO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Int. J. Chem. Kinet., 2010, 42, 69–78.</t>
    </r>
  </si>
  <si>
    <t>&lt; 5.99E-16</t>
  </si>
  <si>
    <r>
      <t>73.  Cantrell, C. A.; Davidson, J. A.; Shetter, R. E.; Anderson, B. A.; Calvert, J. G. Reactions of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with molecular species of possible atmospheric interest. J. Phys. Chem., 1987, 91, 6017–6021.</t>
    </r>
  </si>
  <si>
    <r>
      <t>74. Corchado, J. C.; Espinosa-Garcia, J.; Hu, W-P.; Rossi, I.; Truhlar, D. G. Dual-level reaction-path dynamics (the lll approach to VTST with semiclassical tunneling). Application to OH +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→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+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Phys. Chem., 1995, 99, 687–694.</t>
    </r>
  </si>
  <si>
    <r>
      <t>75. Atkinson, R.; Baulch, D. L.; Cox, R. A.; Crowley, J. N.; Hampson, R. F.; Hynes, R. G.; Jenkin, M. E.; Rossi, M. J.; Troe, J. Evaluated kinetic and photochemical data for atmospheric chemistry: Volume I – gas phase reactions of 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HO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and SO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species. Atmos. Chem. Phys., 2004, 4, 1461–1738.</t>
    </r>
  </si>
  <si>
    <r>
      <t>76. Mebel, A. M.; Moskaleva, L. V.; Lin, M. C. Ab initio MO calculations for the reactions of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with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: prediction of absolute rate constants and kinetic isotope effects. J. Mol. Struct. THEOCHEM, 1999, 461, 223–238.</t>
    </r>
  </si>
  <si>
    <t>77. Cohen, N.; Westberg, K. R. Chemical kinetic data sheets for high-temperature reactions. Part II. J. Phys. Chem. Ref. Data, 1991, 20, 1211–1311.</t>
  </si>
  <si>
    <r>
      <t>78. Cohen, N. The O +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reaction: A review. Int. J. Chem. Kinet., 1987, 19, 319–362.</t>
    </r>
  </si>
  <si>
    <t>79. Baulch, D. L.; Cobos, C. J.; Cox, R. A.; Esser, C.; Frank, P.; Just, Th.; Kerr, J. A.; Pilling, M. J.; Troe, J.; Walker, R. W.; Warnatz, J. Evaluated kinetic data for combustion modelling. J. Phys. Chem. Ref. Data, 1992, 21, 411–429.</t>
  </si>
  <si>
    <r>
      <t>80. Espinoza-García, J. Reaction-Path Dynamics Calculations of the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 Hydrogen Abstraction Reaction. J. Phys. Chem. A, 2000, 104, 7537–7544.</t>
    </r>
  </si>
  <si>
    <r>
      <t>81. Wang, L.; Mebel, A. M.; Yang, X.; Wang, X. Ab Initio/RRKM Study of the O(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D) +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Reaction: Prediction of Product Branching Ratios. J. Phys. Chem. A, 2004, 108, 11644–11650.</t>
    </r>
  </si>
  <si>
    <t>82. Mousavipour, S. H.; Pirhadi, F.; HabibAgahi, A. A Theoretical Investigation on the Kinetics and Mechanism of the Reaction of Amidogen with Hydroxyl Radical. J. Phys. Chem. A, 2009, 113, 12961–12971.</t>
  </si>
  <si>
    <r>
      <t>83. Ko, T.; Marshall, P.; Fontijn, A. Rate coefficients for the H +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reaction over a wide temperature range. J. Phys. Chem., 1990, 94, 1401–1404.</t>
    </r>
  </si>
  <si>
    <r>
      <t>84. Friedrichs, G.; Wagner, H. G. Direct measurements of the reaction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-&gt;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+H at temperatures from 1360 to 2130 K. Z. Phys. Chem. Inter. J. Res. Phys. Chem. Chem. Phys., 2000, 214, 1151–1160.</t>
    </r>
  </si>
  <si>
    <t>&lt; 1.00E-13</t>
  </si>
  <si>
    <r>
      <t>85. Deppe, J.; Friedrichs, G.; Ibrahim, A.; Romming, H.-J.; Wagner, H.Gg. The thermal decomposition of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NH radicals. Ber. Bunsenges Phys. Chem., 1998, 102, 1474–1485.</t>
    </r>
  </si>
  <si>
    <r>
      <t>86. Stothard, N.; Humpfer, R.; Grotheer, H-H. The multichannel reaction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at ambient temperature and low pressures. Chem. Phys. Lett., 1995, 240, 474–480.</t>
    </r>
  </si>
  <si>
    <t>87. Fagerstrom, K.; Jodkowski, J. T.; Lund, A.; Ratajczak, E. Kinetics of the self-reaction and the reaction with OH of the amidogen radical. Chem. Phys. Lett., 1995, 236, 103–110.</t>
  </si>
  <si>
    <r>
      <t>88. Song, S.; Hanson, R. K.; Bowman, C. T.; Golden, D. M. Shock Tube Determination of the Overall Rate of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 -&gt; Products in the Thermal De-NO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Temperature Window. Int. J. Chem. Kinet., 2001, 33, 715–721.</t>
    </r>
  </si>
  <si>
    <r>
      <t>89. Miller, J. A.; Klippenstein, S .J. Theoretical Considerations in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 Reaction. J. Phys. Chem. A, 2000, 104, 2061–2069.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</si>
  <si>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400–1900K, channel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negligible (ref. 89)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</si>
  <si>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1500–2150K; branching ratio at this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region: 0.65 (compared to channel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O)</t>
    </r>
  </si>
  <si>
    <r>
      <t>90. VanDooren, J.; Bian, J.; Van Tiggelen, P. J. Comparison of experimental and calculated structures of an ammonia-nitric oxide flame. Importance of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 reaction. Combust. Flame, 1994, 98, 402–410.</t>
    </r>
  </si>
  <si>
    <r>
      <t>91. Klippenstein, S. J.; Harding, L. B.; Glarborg, P.; Gao, Y. D.; Hu, H. Z.; Marshall, P. Rate Constant and Branching Fraction for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Reaction. J. Phys. Chem. A, 2013, 117, 9011–9022.</t>
    </r>
  </si>
  <si>
    <t>91</t>
  </si>
  <si>
    <r>
      <t>92.  Glarborg, P.; Dam-Johansen, K.; Miller, J. A. The reaction of ammonia with nitrogen dioxide in a flow reactor: implications for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reaction. Int. J. Chem. Kinet., 1995, 27, 1207–1220.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</si>
  <si>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300–910K; branching ratio also given: 0.19 (compared to channel producing NO +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O)</t>
    </r>
  </si>
  <si>
    <r>
      <t>93. Park, J.; Lin, M. C. A mass spectrometric study of the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reaction. J. Phys. Chem. A, 1997, 101, 2643–2647.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</si>
  <si>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200–3000K; total value also given; reverse reaction of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also yields the reactant; at 1 torr and 100 bar instead of vacuum and infinite pressure</t>
    </r>
  </si>
  <si>
    <r>
      <t>94. Bozzelli, J. W.; Dean, A. M. Energized complex quantum Rice-Ramsperger-Kassel andlysis on reactions of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with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and O atoms. J. Phys. Chem., 1989, 93, 1058–1065.</t>
    </r>
  </si>
  <si>
    <t>exp. value, at 295K; total value also given</t>
  </si>
  <si>
    <r>
      <t>95. Adamson, J. D.; Farhat, S. K.; Morter, C. L.; Glass, G. P.; Curl, R. F.; Phillips, L. F. The reaction of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with O. J. Phys. Chem., 1994, 98, 5665–5669.</t>
    </r>
  </si>
  <si>
    <r>
      <t xml:space="preserve">96. Mackie, J. C.; Bacskay, G. B. Quantum chemical study of the mechanism of reaction between NH (X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 and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and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under combustion conditions. J. Phys. Chem. A, 2005, 109, 11967–11974.</t>
    </r>
  </si>
  <si>
    <r>
      <t>97. Sumathi, R.; Peyerimhoff, S. D. A quantum statistical analysis of the rate constant for the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reaction. Chem. Phys. Lett., 1996, 263, 742–748.</t>
    </r>
  </si>
  <si>
    <r>
      <t>98. Rohrig, M.; Wagner, H. G. The reactions of NH(X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Σ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 with the water gas components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and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Symp. Int. Combust. Proc., 1994, 25, 975–981.</t>
    </r>
  </si>
  <si>
    <r>
      <t xml:space="preserve">99. Meaburn, G. M.; Gordon, S. Pulse radiolysis of ammonia gas–rate of disappearance of the NH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Σ radical. J. Phys. Chem., 1968, 72, 1592–1598.</t>
    </r>
  </si>
  <si>
    <r>
      <t>100. Bozzelli, J. W.; Chang, A.; Dean, A. M. Analysis of the reactions H +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and NH + NO: pathways and rate constants over a wide range of temperature and pressure. Symp. Int. Combust. Proc., 1994, 25, 965–974.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</si>
  <si>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300–1200K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</si>
  <si>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700–1100K</t>
    </r>
  </si>
  <si>
    <t>100</t>
  </si>
  <si>
    <r>
      <t>101. Quandt, R. W.; Hershberger, J. F. Product branching ratios of the NH 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Σ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 + NO and NH (Σ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reactions. J. Phys. Chem., 1995, 99, 16939–16944.</t>
    </r>
  </si>
  <si>
    <t>102. Talipov, M. R.; Khursan, S. L.; Safiullin, R. L. RRKM and Ab Initio Investigation of the NH Oxidation by Dioxygen. J. Phys. Chem. A, 2009, 113, 6468–6476.</t>
  </si>
  <si>
    <t>102</t>
  </si>
  <si>
    <r>
      <t>103. Romming, H. J.; Wagner, H.Gg. A kinetic study of the reactions of NH(X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Σ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 with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NO in the temperature range from 1200 to 2200 K. Symp. Int. Combust. Proc., 1996, 26, 559–566.</t>
    </r>
  </si>
  <si>
    <t>79</t>
  </si>
  <si>
    <r>
      <t xml:space="preserve">104. Adam, L.; Hack, W.; Zhu, H.; Qu, Z.W.; Schinke, R. Experimental and theoretical investigation of the reaction NH(X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 + H(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S) –&gt; N(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S) +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(X 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Calibri"/>
        <family val="2"/>
        <scheme val="minor"/>
      </rPr>
      <t>+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). J. Chem. Phys., 2005, 122, 114301 (7 pp.)</t>
    </r>
  </si>
  <si>
    <r>
      <t>105. Bozzelli, J.W.; Dean, A. M. O - NNH: a possible new route for NO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formation in flames. Int. J. Chem. Kinet, 1995, 27, 1097–1109.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</si>
  <si>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1000–2000K; see also reactions no. 204 and 205</t>
    </r>
  </si>
  <si>
    <r>
      <t>106. Tsang, W.; Herron, J. T. Chemical kinetic data base for propellant combustion. I. Reactions involving NO,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HNO, HNO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HCN and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O. J. Phys. Chem. Ref. Data, 1991, 20, 609–663.</t>
    </r>
  </si>
  <si>
    <r>
      <t>107. Mebel, A. M.; Lin, M. C.; Morokuma, K.; Melius, C. F. Theoretical study of reactions of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with NO and OH radicals. Int. J. Chem. Kinet., 1996, 28, 693–703.</t>
    </r>
  </si>
  <si>
    <r>
      <t xml:space="preserve">exp.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1800–2000K</t>
    </r>
  </si>
  <si>
    <r>
      <t>108. Zuev, A. P.; Starikovskii, A. Y. Reactions involving nitrogen oxides at high temperatures. The reaction of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with O. Khim. Fiz., 1991, 10, 171–189.</t>
    </r>
  </si>
  <si>
    <r>
      <t>109. Meagher, N. E.; Anderson, W. R. Kinetics of the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 +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Reaction. 2. Interpretation and Recommended Rate Coefficients. J. Phys. Chem. A, 2000, 104, 6013–6031.</t>
    </r>
  </si>
  <si>
    <r>
      <t xml:space="preserve">110. González, M.; Sayós, R.; Valero, R. Ab Initio and Kinetics Study of the Ground 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A'' Potential Energy Surface of the O(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D) +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-&gt; 2NO,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). Chem. Phys. Lett., 2002, 355, 123–132.</t>
    </r>
  </si>
  <si>
    <t>110</t>
  </si>
  <si>
    <t>111. Atkinson, R.; Baulch, D. L.; Cox, R. A.; Hampson, R. F., Jr.; Kerr, J. A.; Rossi, M. J.; Troe, J. Evaluated kinetic and photochemical data for atmospheric chemistry: supplement VI. IUPAC subcommittee on gas kinetic data evaluation for atmospheric chemistry. J. Phys. Chem. Ref. Data, 1997, 26, 1329–1499.</t>
  </si>
  <si>
    <r>
      <t>112. Wang, X.; Li, H.; Zhu, Q.; Kong, F.; Yu, H. A study on the reaction of O(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D) and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by trajectory calculation and time-resolved FTIR spectroscopy. J. Chin. Chem. Soc. (Taipei), 1995, 42, 399–403.</t>
    </r>
  </si>
  <si>
    <r>
      <t>113. González, M.; Valero, Anglada, J.M.; Sayós, R. Ab Initio Ground Potential Energy surface and Transition State Theory Kinetics Study of the O(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D) +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-&gt; 2NO,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(a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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 Reactions. J. Chem. Phys., 2001, 115, 7015–7031.</t>
    </r>
  </si>
  <si>
    <r>
      <t>114. Diau, E. W. G.; Lin, M. C. Theoretical study of H(D) +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O: effects of pressure, temperature, and quantum-mechanical tunneling on H(D)-atom decay and OH(D)-radical production. J. Phys. Chem., 1995, 99, 6589–6594.</t>
    </r>
  </si>
  <si>
    <t>115. Zuev, A. P.; Starikovskii, A.Yu. Reactions in the nitrous oxide-hydrogen-argon system at high temperatures. Khim. Fiz., 1991, 10, 347–360.</t>
  </si>
  <si>
    <r>
      <t>116. Albers, E. A.; Hoyermann, K.; Schacke, H.; Schmatjko, K. J.; Wagner, H.Gg.; Wolfrum, J. Absolute Rate Coefficients for the Reaction of H-Atoms with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and Some Reactions of CN Radicals. Symp. Int. Combust. Proc., 1975, 15, 765–773.</t>
    </r>
  </si>
  <si>
    <t>117. Lin, M. C.; He, Y.; Melius, C. F. Theoretical interpretation of the kinetics and mechanisms of the HNO + HNO and HNO + 2NO reactions with a unified model. Int. J. Chem. Kinet., 1992, 24, 489–516.</t>
  </si>
  <si>
    <t>117</t>
  </si>
  <si>
    <t>119</t>
  </si>
  <si>
    <r>
      <t>118. Diau, E. W.; Halbgewachs, M. J.; Smith, A. R.; Lin, M. C. Thermal reduction of NO by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 kinetic measurement and computer modeling of the HNO + NO reaction. Int. J. Chem. Kinet., 1995, 27, 867–881.</t>
    </r>
  </si>
  <si>
    <r>
      <t>119.  Mebel, A. M.; Lin, M. C.; Morokuma, K. Ab initio MO and TST calculations for the rate constant of the HNO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→ HONO + NO reaction. Int. J. Chem. Kinet., 1998, 30, 729–736.</t>
    </r>
  </si>
  <si>
    <t>120. Nguyen, H. MT.; Zhang, S. W.; Peeters, J.; Truong, T. N.; Nguyen, M. T. Direct ab initio dynamics studies of the reactions of HNO with H and OH radicals. Chem. Phys. Lett., 2004, 388, 94–99.</t>
  </si>
  <si>
    <r>
      <t>121. Du, B.; Zhang, W. C.; Feng, C. J.; Zhou, Z. Y. Thermodynamic and kinetic investigations on the reaction of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 with HNO. J. Mol. Struct. (THEOCHEM), 2004, 712, 101–107.</t>
    </r>
  </si>
  <si>
    <t>122. Trung, Q. L.; Mackay, D.; Hirata, A.; Trass, O. A Shock Tube Study of the Thermal Decomposition of Nitric Oxide. Combust. Sci. Technol., 1975, 10, 155–162.</t>
  </si>
  <si>
    <r>
      <t>123. Zhu, R. S.; Lin, M. C. Ab initio study of the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+NO reaction: Prediction of the total rate constant and product branching ratios for the forward and reverse processes. J. Chem. Phys., 2003, 119, 10667–10677. 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</si>
  <si>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200–2000K; check also reverse reaction of no. 233</t>
    </r>
  </si>
  <si>
    <r>
      <t xml:space="preserve">theor.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200–2000K; no equation was given, based on Fig. 4; via HOONO intermediate (channels HNO +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isomerization to HONO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are unfavorable)</t>
    </r>
  </si>
  <si>
    <r>
      <t xml:space="preserve">theor. total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200–2000K; reverse reaction is faster</t>
    </r>
  </si>
  <si>
    <r>
      <t>124. Howard, C. J. Temperature Dependence of the Reaction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 → OH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Chem. Phys., 1979, 71, 2352–2359.</t>
    </r>
  </si>
  <si>
    <t>125. Lightfoot, P. D.; Cox, R. A.; Crowley, J. N.; Destriau, M.; Hayman, G. D.; Jenkin, M. E.; Moortgat, G. K.; Zabel, F. Organic peroxy radicals: kinetics, spectroscopy and tropospheric chemistry. Atmos. Environ. Part A, 1992, 26, 1805–1961.</t>
  </si>
  <si>
    <r>
      <t>126. Wallington, T. J.; Jucks, K. W.; Tyndall, G. S. Upper limits for the gas-phase reaction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with 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NO. Atmospheric implications. Int. J. Chem. Kinet., 1998, 30, 707–709.</t>
    </r>
  </si>
  <si>
    <t>&lt; 7.01E-20</t>
  </si>
  <si>
    <t>&lt; 5.20E-20</t>
  </si>
  <si>
    <t>127. Gray, D.; Lissi, E.; Heicklen, J. The Reaction of Hydrogen Peroxide with Nitrogen Dioxide and Nitric Oxide. J. Phys. Chem., 1972, 76, 1919–1924.</t>
  </si>
  <si>
    <t>128. Dumas, J. L. Etude de la Reactivite Chimique de l'Oxygene Singulet Produit en Phase Gazeuse. I. Etudes en Phase Homogene. Bull. Soc. Chim. Fr., 1976, 658–661.</t>
  </si>
  <si>
    <r>
      <t>129. Boodaghians, R. B.; Borrell, P. M.; Borrell, P. Room-temperature rate constants for the gas-phase quenching of metastable molecular oxygen,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(a</t>
    </r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g</t>
    </r>
    <r>
      <rPr>
        <sz val="11"/>
        <color theme="1"/>
        <rFont val="Calibri"/>
        <family val="2"/>
        <scheme val="minor"/>
      </rPr>
      <t>) and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(b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Σ</t>
    </r>
    <r>
      <rPr>
        <vertAlign val="subscript"/>
        <sz val="11"/>
        <color theme="1"/>
        <rFont val="Calibri"/>
        <family val="2"/>
        <scheme val="minor"/>
      </rPr>
      <t>g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), by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NO,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HCI and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Chem. Phys. Lett., 1983, 97, 193–197.</t>
    </r>
  </si>
  <si>
    <r>
      <t>130. Valli, G. S.; Orru, R.; Clementi, E.; Lagana, A.; Crocchianti, S. Rate coefficients for the N+O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 computed on an ab initio potential energy surface. J. Chem. Phys., 1995, 102, 2825–2832.</t>
    </r>
  </si>
  <si>
    <t>&lt; 5.80E-11</t>
  </si>
  <si>
    <r>
      <t>131. Blais, N. C. Reaction of O(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D) with nitric oxide. J. Phys. Chem., 1985, 89, 4156–4158.</t>
    </r>
  </si>
  <si>
    <t>132. Baulch, D. L.; Cobos, C.J .; Cox, R. A.; Frank, P.; Hayman, G.; Just, Th.; Kerr, J. A.; Murrells, T.; Pilling, M. J.; Troe, J.; Walker, R. W.; Warnatz, J. Evaluated kinetic data for combusion modelling. Supplement I. J. Phys. Chem. Ref. Data, 1994, 23, 847–1033.</t>
  </si>
  <si>
    <t>131</t>
  </si>
  <si>
    <t>133.  Asatryan, R.; Bozzelli, J. W.; Simmie, J. M. Thermochemistry for enthalpies and reaction paths of nitrous acid isomers. Int. J. Chem. Kinet., 2007, 39, 378–398.</t>
  </si>
  <si>
    <t>&lt; 1.00E-20</t>
  </si>
  <si>
    <t>134. Kaiser, E. W.; Wu, C. H. A kinetic study of the gas phase formation and decomposition reactions of nitrous acid. J. Phys. Chem., 1977, 81, 1701–1706.</t>
  </si>
  <si>
    <t>&lt; 1.00E-22</t>
  </si>
  <si>
    <r>
      <t>135. Streit, G. E.; Wells, J. S.; Fehsenfeld, F. C.; Howard, C. J. A Tunable Diode Laser Study of the Reactions of Nitric and Nitrous Acids: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+ NO and HNO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J. Chem. Phys., 1979, 70, 3439–3443.</t>
    </r>
  </si>
  <si>
    <r>
      <t>136.  Svensson, R.; Ljungstrom, E. A kinetic study of the decomposition of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its reaction with NO. Int. J. Chem. Kinet., 1988, 20, 857–866.</t>
    </r>
  </si>
  <si>
    <t>&lt; 2.01E-15</t>
  </si>
  <si>
    <r>
      <t>137. Wallington, T. J.; Japar, S. M. Fourier transform infrared kinetic studies of the reaction of HONO with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at 295 K. J. Atmos. Chem., 1989, 9, 399–409.</t>
    </r>
  </si>
  <si>
    <t>138. Hsu, C.-C.; Lin, M. C.; Mebel, A. M.; Melius, C. F. Ab initio study of the H + HONO reaction: direct abstraction versus indirect exchange processes. J. Phys. Chem. A, 1997, 101, 60–66.</t>
  </si>
  <si>
    <t>70</t>
  </si>
  <si>
    <r>
      <t>139. Tiwary, A. S.; Mukherjee, A. K. Mechanism of the CH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-HNO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reaction: Ab initio DFT/TST study. J. Mol. Struct. (THEOCHEM), 2009, 909, 57–65.</t>
    </r>
  </si>
  <si>
    <r>
      <t>140. Mebel, A. M.; Lin, M. C.; Melius, C. F. Rate constant of the HONO + HONO →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+ NO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 from ab initio MO and TST calculations. J. Phys. Chem. A,  1998, 102, 1803–1807.</t>
    </r>
  </si>
  <si>
    <r>
      <t>141. Fifer, R. A. Kinetics of the Reaction OH + HNO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→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at High Temperatures Behind Shock Waves. J. Phys. Chem., 1976, 80, 2717–2723.</t>
    </r>
  </si>
  <si>
    <t>142. Cobos, C. J.; Troe, J. Theory of thermal unimolecular reactions at high pressures. II. Analysis of experimental results. J. Chem. Phys., 1985, 83, 1010–1015.</t>
  </si>
  <si>
    <r>
      <t xml:space="preserve">exp. total value,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range: 295–1200K</t>
    </r>
  </si>
  <si>
    <t>143. Glänzer, K.; Troe, J. Thermal Decomposition of Nitrocompounds in Shock Waves. IV: Decomposition of Nitric Acid. Ber. Bunsenges Phys. Chem., 1974, 78, 71–76.</t>
  </si>
  <si>
    <r>
      <t>144. Golden, D. M.; Barker, J. R.; Lohr, L. L. Master equation models for the pressure- and temperature-dependant reactions HO+NO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-&gt; HONO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HO+NO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-&gt; HOONO. J. Phys. Chem. A, 2003, 107, 11057–11071.</t>
    </r>
  </si>
  <si>
    <t>&lt; 8.00E-16</t>
  </si>
  <si>
    <t>&lt; 3.01E-17</t>
  </si>
  <si>
    <t>&lt; 5.00E-16</t>
  </si>
  <si>
    <r>
      <t>145. Tyndall, G. S.; Orlando, J. J.; Calvert, J. G. Upper limit for the rate coefficient for the reaction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→ HONO +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Environ. Sci. Technol., 1995, 29, 202–206.</t>
    </r>
  </si>
  <si>
    <r>
      <t>146. Avallone, L. M. Measurements of the temperature-dependent rate coefficient for the reaction 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P)+NO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-&gt; NO+O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Photochem. Photobio. A Chem., 2003, 157, 231–236.</t>
    </r>
  </si>
  <si>
    <r>
      <t>147.  Gauthier, M. J. E.; Snelling, D. R. La Photolyse de l'Ozone a 253.7nm: Desactivation de O(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D) et de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Σ) par les Gaz de l'Atmosphere. J. Photochem., 1975, 4, 27–50.</t>
    </r>
  </si>
  <si>
    <r>
      <t>148. Poulet, G.; LeBras, G.; Combourieu, J. Kinetic study of the reactions of Cl atoms with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and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Chem. Phys., 1978, 69, 767–773.</t>
    </r>
  </si>
  <si>
    <r>
      <t>149. Zhu, R. S.; Lai, K.-Y.; Lin, M. C. Ab Initio Chemical Kinetics for the Hydrolysis of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Isomers in the Gas Phase. J. Phys. Chem. A, 2012, 116, 4466–4472.</t>
    </r>
  </si>
  <si>
    <r>
      <t>150. Xia, W. S.; Lin, M. C. A multifacet mechanism for the OH+HNO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reaction: An ab initio molecular orbital/statistical theory study. J. Chem. Phys., 2001, 114, 4522–4532.</t>
    </r>
  </si>
  <si>
    <t>151. Smith, C. A.; Molina, L. T.; Lamb, J. J.; Molina, M. J. Kinetics of the reaction of OH with pernitric and nitric acids. Int. J. Chem. Kinet., 1984, 16, 41–55.</t>
  </si>
  <si>
    <r>
      <t>152. Connell, P. S.; Howard, C. J. Kinetics study of the reaction HO +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Int. J. Chem. Kinet., 1985, 17, 17–31.</t>
    </r>
  </si>
  <si>
    <t>153.  Boughton, J. W.; Kristyan, S.; Lin, M. C. Theoretical study of the reaction of hydrogen with nitric acid: ab initio MO and TST/RRKM calculations. Chem. Phys., 1997, 214, 219–227.</t>
  </si>
  <si>
    <t>154.  Ashmore, P. G.; Burnett, M. G. Concurrent molecular and free radical mechanisms in the thermal decomposition of nitrogen dioxide. J. Chem. Soc. Faraday Trans. 2, 1962, 58, 253–261.</t>
  </si>
  <si>
    <r>
      <t>155.  Graham, R. A.; Johnston, H. S. The Photochemistry of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the Kinetics of the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System. J. Phys. Chem., 1978, 82, 254–268.</t>
    </r>
  </si>
  <si>
    <r>
      <t>156. Cantrell, C. A.; Davidson, J. A.; McDaniel, A. H.; Shetter, R. E.; Calvert, J. G. The equilibrium constant for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=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 Absolute determination by direct measurement from 243 to 397 K. J. Chem. Phys., 1988, 88, 4997–5006.</t>
    </r>
  </si>
  <si>
    <r>
      <t>157. He, Y.; Liu, X.; Lin, M. C.; Melius, C. F. Thermal reaction of HNCO with 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at moderate temperatures. Int. J. Chem. Kinet., 1993, 25, 845–863.</t>
    </r>
  </si>
  <si>
    <r>
      <t>158. Becker, E.; Rahman, M. M.; Schindler, R. N. Determination of the rate constants for the gas phase reactions of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with H, OH and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radicals at 298 K. Ber. Bunsenges Phys. Chem., 1992, 96, 776–783.</t>
    </r>
  </si>
  <si>
    <t>158</t>
  </si>
  <si>
    <r>
      <t>159. Burrows, J. P.; Tyndall, G. S.; Moortgat, G. K. Absorption spectrum of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kinetics of the reactions of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with NO2, Cl, and several stable atmospheric species at 298 K. J. Phys. Chem., 1985, 89, 4848–4856.</t>
    </r>
  </si>
  <si>
    <r>
      <t>161. Karach, S. P.; Osherov, V. I. Ab Initio Analysis of the Transition States on the Lowest Triplet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Potential Surface. J. Chem. Phys., 1999, 110, 11918–11927.</t>
    </r>
  </si>
  <si>
    <t>160. Tsang, W.; Hampson, R. F. Chemical kinetic data base for combustion chemistry. Part I. Methane and related compounds. J. Phys. Chem. Ref. Data, 1986, 15, 1087–1279.</t>
  </si>
  <si>
    <r>
      <t>162. Gonzalez, C.; Theisen, J.; Schlegel, H. B.; Hase, W. L.; Kaiser, E. W. Kinetics of the reaction between OH and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on the triplet potential energy surface. J. Phys. Chem., 1992, 96, 1767–1774.</t>
    </r>
  </si>
  <si>
    <r>
      <t>163. Zhou, D. DY.; Han, K. L.; Zhang, P. Y.; Harding, L. B.; Davis, M. J.; Skodje, R. T. Theoretical Determination of the Rate Coefficient for the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-&gt;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Reaction: Adiabatic Treatment of Anharmonic Torsional Effects. J. Phys. Chem. A, 2012, 116, 2089–2100.</t>
    </r>
  </si>
  <si>
    <r>
      <t>164. Kappel, Ch.; Luther, K.; Troe, J. Shock wave study of the unimolecular dissociation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in its falloff range and of its secondary reactions. Phys. Chem. Chem. Phys., 2002, 4, 4392–4398.</t>
    </r>
  </si>
  <si>
    <t>165.  Shaw, R. Estimation of Rate Constants as a Function of Temperature for the Reactions W + XYZ = WX + YZ, Where W, X, Y, and Z are H or O Atoms. Int. J. Chem. Kinet., 1977, 9, 929–941.</t>
  </si>
  <si>
    <r>
      <rPr>
        <vertAlign val="superscript"/>
        <sz val="11"/>
        <color theme="1"/>
        <rFont val="Symbol"/>
        <family val="1"/>
        <charset val="2"/>
      </rPr>
      <t>1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</si>
  <si>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r>
      <t>166. Mousavipour, S. H.; Saheb, V. Theoretical study on the kinetic and mechanism of H+HO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reaction. Bull. Chem. Soc. Jpn., 2007, 80, 1901–1913.</t>
    </r>
  </si>
  <si>
    <r>
      <t>167. Troe, J. The thermal dissociation/recombination reaction of hydrogen peroxide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(+M) double left right arrow 2OH(+M) III. Analysis and representation of the temperature and pressure dependence over wide ranges. Combust. Flame, 2011, 158, 594–601.</t>
    </r>
  </si>
  <si>
    <r>
      <t>168. Vaghjiani, G. L.; Ravishankara, A. R. Reactions of OH and OD with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Phys. Chem., 1989, 93, 7833–7837.</t>
    </r>
  </si>
  <si>
    <r>
      <t>169. Tarchouna, Y.; Bahri, M.; Jaidane, N.; Ben Lakhdar, Z.; Flament, J. P. Theoretical study of the kinetics of the hydrogen abstraction reaction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+O(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P)-&gt; OH+HO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Mol. Struct. (THEOCHEM), 2003, 664, 189–196.</t>
    </r>
  </si>
  <si>
    <t>170. Lee, D.; Hochgreb, S. Hydrogen autoignition at pressures above the second explosion limit (0.6 - 4.0 MPa). Int. J. Chem. Kinet., 1998, 30, 385–406.</t>
  </si>
  <si>
    <t>171. Baldwin, R. F.; Walker, R. W. Rate Constants for Hydrogen + Oxygen System, and for H Atoms and OH Radicals + Alkanes. J. Chem. Soc. Faraday Trans. 1, 1979, 75, 140–154.</t>
  </si>
  <si>
    <t>Ref.</t>
  </si>
  <si>
    <t>Rate constant values at different pressures</t>
  </si>
  <si>
    <t>Figure S1. Reaction mechanism proposed based on the rate constant values determined for the temperature of the pyrolysis.</t>
  </si>
  <si>
    <t>Table S1. List of previous kinetic studies on the thermal degradation of ammonium perchlorate.</t>
  </si>
  <si>
    <t>Assignment</t>
  </si>
  <si>
    <t>References</t>
  </si>
  <si>
    <r>
      <t>1. Radler, K.; Berkowitz, J. Photoionization Mass Spectrometric study of CSe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Chem. Phys., 1977, 66, 2176–2182.</t>
    </r>
  </si>
  <si>
    <r>
      <t>2. Locht, R.; Hottmann, K.; Hagenow, G.; Denzer, W.; Baumgärtel, H.</t>
    </r>
    <r>
      <rPr>
        <sz val="11"/>
        <color rgb="FF000000"/>
        <rFont val="Calibri"/>
        <family val="2"/>
        <scheme val="minor"/>
      </rPr>
      <t xml:space="preserve"> The Threshold-Photoelectron Spectrum of NH</t>
    </r>
    <r>
      <rPr>
        <vertAlign val="subscript"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. Chem. Phys. Lett., 1992, 190, 124–129.</t>
    </r>
  </si>
  <si>
    <t>6. Page, R. H.; Larkin, R. J.; Yhen, Y. R.; Lee, Y. T. High-Resolution Photoionization Spectrum of Water Molecules in a Supersonic Beam. J. Chem. Phys., 1988, 88, 2249–2263.</t>
  </si>
  <si>
    <t>7. Banna, M. S.; Shirley, D. A. Molecular Photoelectron Spectroscopy at 132.3 eV. The Second-Row Hydrides. J. Chem. Phys., 1975, 63, 4759–4766.</t>
  </si>
  <si>
    <t>9. Potts, A. W.; Williams, T. A. The Observation of "Forbidden" Transitions in He II Photoelectron Spectra. J. Electron Spectrosc. Relat. Phenom., 1974, 3, 3–17.</t>
  </si>
  <si>
    <t>10. Ebata, T.; Anezaki, Y.; Fujii, M.; Mikami, N.; Ito, M. High Rydberg States of NO Studied by Two-Color Multiphoton Spectroscopy. J. Phys. Chem., 1983, 87, 4773–4776.</t>
  </si>
  <si>
    <t>11. Kibel, M. H.; Nyberg, G. L. Angular Distribution Valence Photoelectron Spectra of Nitric Oxide. J. Electron Spectrosc. Relat. Phenom., 1979, 17, 1–13.</t>
  </si>
  <si>
    <t>14. De Leeuw, D. M.; Mooyman, R.; De Lange, C. A. He(I) Photoelectron Spectroscopy of Halogen Atoms. Chem. Phys. Lett., 1978, 54, 231–234.</t>
  </si>
  <si>
    <t>15. Nicholson, A. J. C. Photoionization-Efficiency Curves. II. False and Genuine Structure. J. Chem. Phys., 1965, 43, 1171–1177.</t>
  </si>
  <si>
    <t>16. Coppens, P.; Smets, J.; Fishel, M. G.; Drowart, J. Mass Spectrometric Study of the Photoionization of Nitrous Oxide in the Wavelength Interval 1000–600 Å. Int. J. Mass Spectrom. Ion Phys., 1974, 14, 57–74.</t>
  </si>
  <si>
    <t>17. Dibeler, V. H.; Walker, J. A.; Liston, S. K. Mass Spectrometric Study of Photoionization. VII. Nitrogen Dioxide and Nitrous Oxide. J. Res. Natl. Bur. Stand., Sect. A 1967, 71A, 371−378.</t>
  </si>
  <si>
    <t>18. Katsumata, S.; Shiromaru, H.; Mitani, K.; Iwata, S.; Kimura, K. Photoelectron Angular Distribution and Assignments of Photoelectron Spectra of Nitrogen Dioxide, Nitromethane and Nitrobenzene. Chem. Phys., 1982, 69, 423–431.</t>
  </si>
  <si>
    <r>
      <t>20. Bulgin, D. K.; Dyke, J. M.; Jonathan, N.; Morris, A. Vacuum Ultraviolet Photoelectron Spectroscopy of Transient Species. Part 9.—ClO(</t>
    </r>
    <r>
      <rPr>
        <i/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Π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Radical J. Chem. Soc. Faraday Trans. 2, 1979, 75, 456–465.</t>
    </r>
  </si>
  <si>
    <r>
      <t>19. Thorn, R. P., Jr.; Stief, L. J.; Kuo, S.-C.; Klemm, R. B. Ionization Energy of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and ClO, Appearance Energy of ClO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(Cl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O), and Heat of Formation of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O. J. Phys. Chem., 1996, 100, 14178–14183.</t>
    </r>
  </si>
  <si>
    <r>
      <t>21. Colbourne, D.; Frost, D. C.; McDowell, C. A.; Westwood, N. P. C. The Photoelectron Spectra of the Isoelectronic Molecules Hypochlorous acid HOCl Chloramine NH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Cl. J. Chem. Phys., 1978, 68, 3574–3580.</t>
    </r>
  </si>
  <si>
    <r>
      <t>22. Monks, P. S.; Stief, L. J.; Krauss, M.; Kuo, S. C.; Zhang, Z.; Klemm, R. B. A Discharge Flow-Photoionization Mass Spectrometric Study of the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(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') Radical: Photoionization Spectrum, Adiabatic Ionization Energy, and Ground State Symmetry. J. Phys. Chem., 1994, 98, 10017–10022.</t>
    </r>
  </si>
  <si>
    <r>
      <t>13. Banna, M. S.; Shirley, D. A. Molecular photoelectron spectroscopy at 132.3 eV: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CO, 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and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J. Electron Spectrosc. Relat. Phenom., 1976, 8, 255–270.</t>
    </r>
  </si>
  <si>
    <r>
      <t>12. Tonkyn, R. G.; Winniczek, J. W.; White, M. G. Rotationally Resolved Photoionization of O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near Threshold. Chem. Phys. Lett., 1989, 164, 137–142.</t>
    </r>
  </si>
  <si>
    <r>
      <t>8. Trickl, T.; Cromwell, E. F.; Lee, Y. T.; Kung, A. H. State-Selective Ionization of Nitrogen in the 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0 and v = 1 States by Two-Color (1+1) Photon Excitation near Threshold. J. Chem. Phys., 1989, 91, 6006–6012.</t>
    </r>
  </si>
  <si>
    <r>
      <t>5. Katsumata, S.; Lloyd, D. R.</t>
    </r>
    <r>
      <rPr>
        <sz val="11"/>
        <color rgb="FF000000"/>
        <rFont val="Calibri"/>
        <family val="2"/>
        <scheme val="minor"/>
      </rPr>
      <t xml:space="preserve"> The Photoelectron Spectra of the OH and OD Radicals. Chem. Phys. Lett., 1977, 45, 519–522.</t>
    </r>
  </si>
  <si>
    <r>
      <t>4. Wiedmann, R. T.; Tonkyn, R. G.; White, M. G.; Wang, K.; McKoy, V.</t>
    </r>
    <r>
      <rPr>
        <sz val="11"/>
        <color rgb="FF000000"/>
        <rFont val="Calibri"/>
        <family val="2"/>
        <scheme val="minor"/>
      </rPr>
      <t xml:space="preserve"> Rotationally Resolved Threshold Photoelectron Spectra of OH and OD. J. Chem. Phys., 1992, 97, 768–772.</t>
    </r>
  </si>
  <si>
    <r>
      <t>3. Baumgärtel, H.; Jochims, H.-W.; Rühl, E.; Bock, H.; Dammel, R.; Minkwitz, J.; Nass, R.</t>
    </r>
    <r>
      <rPr>
        <sz val="11"/>
        <color rgb="FF000000"/>
        <rFont val="Calibri"/>
        <family val="2"/>
        <scheme val="minor"/>
      </rPr>
      <t xml:space="preserve"> Photoelectron and Photoionization Mass Spectra of the Fluoramines NH</t>
    </r>
    <r>
      <rPr>
        <vertAlign val="subscript"/>
        <sz val="11"/>
        <color rgb="FF000000"/>
        <rFont val="Calibri"/>
        <family val="2"/>
        <scheme val="minor"/>
      </rPr>
      <t>3–</t>
    </r>
    <r>
      <rPr>
        <i/>
        <vertAlign val="subscript"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F</t>
    </r>
    <r>
      <rPr>
        <i/>
        <vertAlign val="subscript"/>
        <sz val="11"/>
        <color rgb="FF000000"/>
        <rFont val="Calibri"/>
        <family val="2"/>
        <scheme val="minor"/>
      </rPr>
      <t>n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. Inorg. Chem., 1989, 28, 943–949.</t>
    </r>
  </si>
  <si>
    <r>
      <t>23. Attinà, M.; Cacace, F.; Ciliberto, E.; de Petris, G.; Grandinetti, F.; Pepi, F.; Ricci, A. Gas-Phase Ion Chemistry of Nitramide. A Mass Spectrometric and Ab Initio Study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N–NO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the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N–NO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∙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, [H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N–NO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, [H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N–NO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 xml:space="preserve"> Ions. J. Am. Chem. Soc., 1993, 115, 12398–12404.</t>
    </r>
  </si>
  <si>
    <t>24. Lloyd, D. R.; Roberts, P. J.; Hillier, I. H. Electronic Structure of Nitric Acid Studied by Photoelectron Spectroscopy and Molecular Orbital Calculation. J. Chem. Soc. Faraday Trans. 2, 1975, 71, 496–503.</t>
  </si>
  <si>
    <t>25. Ames, D. L.; Turner, D. W. Photoelectron Spectroscopic Studies of Dinitrogen Tetroxide and Dinitrogen Pentoxide. Proc. R. Soc. London A, 1976, 348, 175–186.</t>
  </si>
  <si>
    <t>26. Flesch, R.; Rühl, E.; Hottmann, K.; Baumgärtel, H. Photoabsorption and Photoionization of Chlorine Dioxide. J. Phys. Chem., 1993, 97, 837–844.</t>
  </si>
  <si>
    <t>27. Dibeler, V.H.; Walker, J. A.; McCulloh, K. E.; Rosenstock, H. M. Effect of Hot Bands on the Ionization Threshold of Some Diatomic Halogen Molecules. Intern. J. Mass Spectrom. Ion Phys., 1971, 7, 209–219.</t>
  </si>
  <si>
    <t>28. Dyke, J. M.; Josland, G. D.; Snijders, J. G.; Boerrigter, P. M. Ionization Energies of the Diatomic Halogens and Interhalogens Studied with Relativistic Hartree-Fock-Slater Calculations. Chem. Phys., 1984, 91, 419–424.</t>
  </si>
  <si>
    <r>
      <t>m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z</t>
    </r>
  </si>
  <si>
    <r>
      <rPr>
        <i/>
        <sz val="11"/>
        <color theme="1"/>
        <rFont val="Calibri"/>
        <family val="2"/>
        <scheme val="minor"/>
      </rPr>
      <t>IE</t>
    </r>
    <r>
      <rPr>
        <vertAlign val="subscript"/>
        <sz val="11"/>
        <color theme="1"/>
        <rFont val="Calibri"/>
        <family val="2"/>
        <scheme val="minor"/>
      </rPr>
      <t>ad</t>
    </r>
  </si>
  <si>
    <r>
      <t>IE</t>
    </r>
    <r>
      <rPr>
        <vertAlign val="subscript"/>
        <sz val="11"/>
        <color theme="1"/>
        <rFont val="Calibri"/>
        <family val="2"/>
        <scheme val="minor"/>
      </rPr>
      <t>vert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</si>
  <si>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</si>
  <si>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35</t>
    </r>
    <r>
      <rPr>
        <sz val="11"/>
        <color theme="1"/>
        <rFont val="Calibri"/>
        <family val="2"/>
        <scheme val="minor"/>
      </rPr>
      <t>Cl</t>
    </r>
  </si>
  <si>
    <r>
      <t>H</t>
    </r>
    <r>
      <rPr>
        <vertAlign val="superscript"/>
        <sz val="11"/>
        <color theme="1"/>
        <rFont val="Calibri"/>
        <family val="2"/>
        <scheme val="minor"/>
      </rPr>
      <t>35</t>
    </r>
    <r>
      <rPr>
        <sz val="11"/>
        <color theme="1"/>
        <rFont val="Calibri"/>
        <family val="2"/>
        <scheme val="minor"/>
      </rPr>
      <t>Cl</t>
    </r>
  </si>
  <si>
    <r>
      <t>37</t>
    </r>
    <r>
      <rPr>
        <sz val="11"/>
        <color theme="1"/>
        <rFont val="Calibri"/>
        <family val="2"/>
        <scheme val="minor"/>
      </rPr>
      <t>Cl</t>
    </r>
  </si>
  <si>
    <r>
      <t>H</t>
    </r>
    <r>
      <rPr>
        <vertAlign val="superscript"/>
        <sz val="11"/>
        <color theme="1"/>
        <rFont val="Calibri"/>
        <family val="2"/>
        <scheme val="minor"/>
      </rPr>
      <t>37</t>
    </r>
    <r>
      <rPr>
        <sz val="11"/>
        <color theme="1"/>
        <rFont val="Calibri"/>
        <family val="2"/>
        <scheme val="minor"/>
      </rPr>
      <t>Cl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</si>
  <si>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</si>
  <si>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35</t>
    </r>
    <r>
      <rPr>
        <sz val="11"/>
        <color theme="1"/>
        <rFont val="Calibri"/>
        <family val="2"/>
        <scheme val="minor"/>
      </rPr>
      <t>ClO</t>
    </r>
  </si>
  <si>
    <r>
      <t>HO</t>
    </r>
    <r>
      <rPr>
        <vertAlign val="superscript"/>
        <sz val="11"/>
        <color theme="1"/>
        <rFont val="Calibri"/>
        <family val="2"/>
        <scheme val="minor"/>
      </rPr>
      <t>35</t>
    </r>
    <r>
      <rPr>
        <sz val="11"/>
        <color theme="1"/>
        <rFont val="Calibri"/>
        <family val="2"/>
        <scheme val="minor"/>
      </rPr>
      <t>Cl</t>
    </r>
  </si>
  <si>
    <r>
      <t>37</t>
    </r>
    <r>
      <rPr>
        <sz val="11"/>
        <color theme="1"/>
        <rFont val="Calibri"/>
        <family val="2"/>
        <scheme val="minor"/>
      </rPr>
      <t>ClO</t>
    </r>
  </si>
  <si>
    <r>
      <t>HO</t>
    </r>
    <r>
      <rPr>
        <vertAlign val="superscript"/>
        <sz val="11"/>
        <color theme="1"/>
        <rFont val="Calibri"/>
        <family val="2"/>
        <scheme val="minor"/>
      </rPr>
      <t>37</t>
    </r>
    <r>
      <rPr>
        <sz val="11"/>
        <color theme="1"/>
        <rFont val="Calibri"/>
        <family val="2"/>
        <scheme val="minor"/>
      </rPr>
      <t>Cl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</si>
  <si>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N–NO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2"/>
        <color theme="1"/>
        <rFont val="Times New Roman"/>
        <family val="1"/>
      </rPr>
      <t/>
    </r>
  </si>
  <si>
    <r>
      <t>35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2</t>
    </r>
  </si>
  <si>
    <r>
      <t>37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2</t>
    </r>
  </si>
  <si>
    <r>
      <t>35</t>
    </r>
    <r>
      <rPr>
        <sz val="11"/>
        <color theme="1"/>
        <rFont val="Calibri"/>
        <family val="2"/>
        <scheme val="minor"/>
      </rPr>
      <t>Cl</t>
    </r>
    <r>
      <rPr>
        <vertAlign val="subscript"/>
        <sz val="11"/>
        <color theme="1"/>
        <rFont val="Calibri"/>
        <family val="2"/>
        <scheme val="minor"/>
      </rPr>
      <t>2</t>
    </r>
  </si>
  <si>
    <r>
      <t>35</t>
    </r>
    <r>
      <rPr>
        <sz val="11"/>
        <color theme="1"/>
        <rFont val="Calibri"/>
        <family val="2"/>
        <scheme val="minor"/>
      </rPr>
      <t>Cl</t>
    </r>
    <r>
      <rPr>
        <vertAlign val="superscript"/>
        <sz val="11"/>
        <color theme="1"/>
        <rFont val="Calibri"/>
        <family val="2"/>
        <scheme val="minor"/>
      </rPr>
      <t>37</t>
    </r>
    <r>
      <rPr>
        <sz val="11"/>
        <color theme="1"/>
        <rFont val="Calibri"/>
        <family val="2"/>
        <scheme val="minor"/>
      </rPr>
      <t>Cl</t>
    </r>
  </si>
  <si>
    <r>
      <t>37</t>
    </r>
    <r>
      <rPr>
        <sz val="11"/>
        <color theme="1"/>
        <rFont val="Calibri"/>
        <family val="2"/>
        <scheme val="minor"/>
      </rPr>
      <t>Cl</t>
    </r>
    <r>
      <rPr>
        <vertAlign val="subscript"/>
        <sz val="11"/>
        <color theme="1"/>
        <rFont val="Calibri"/>
        <family val="2"/>
        <scheme val="minor"/>
      </rPr>
      <t>2</t>
    </r>
  </si>
  <si>
    <t>No.</t>
  </si>
  <si>
    <t>Bircumshaw, L. L.; Newman, B. H. The Thermal Decomposition of Ammonium Perchlorate. II. The Kinetics of the Decomposition, the Effect of Particle Size, and Discussion of Results. Proc. R. Soc. London, Ser. A 1955, 227, 228−241.</t>
  </si>
  <si>
    <t>Inami, S. H.; Rosser, W. A.; Wise, H. Adiabatic Decomposition of Ammonium Perchlorate. Trans. Faraday Soc., 1966, 62, 723–729.</t>
  </si>
  <si>
    <t>Davies, J. V.; Jacobs, P. W. M.; Russel-Jones, A. Thermal Decomposition of Ammonium Perchlorate. Trans. Faraday Soc., 1967, 63, 1737–1748.</t>
  </si>
  <si>
    <t>Pai Verneker, V. R.; Maycock, J. N. The Thermal Decomposition of Ammonium Perchlorate at Low Temperature. J. Inorg. Nucl. Chem., 1967, 29, 2723–2730.</t>
  </si>
  <si>
    <t>Rosser, W. A.; Inami, S. H.; Wise, H. Thermal Decomposition of Ammonium Perchlorate. Combust. Flame, 1968, 12, 427–435.</t>
  </si>
  <si>
    <t>Jacobs, P. W. M.; Ng, W. L. Thermal Decomposition of Ammonium Perchlorate Single Crystals. J. Solid State Chem., 1974, 9, 315–322.</t>
  </si>
  <si>
    <r>
      <rPr>
        <sz val="11"/>
        <color theme="1"/>
        <rFont val="Calibri"/>
        <family val="2"/>
        <scheme val="minor"/>
      </rPr>
      <t>Khairetdinov, E. F.; Boldyrev, V. V. The Mechanism of the Low-Temperature Decomposition of 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 Thermochim. Acta, 1980, 41, 63–86.</t>
    </r>
  </si>
  <si>
    <t>Vyazovkin, S.; Wight, C. A. Kinetics of the Thermal Decomposition of Cubic Ammonium Perchlorate. Chem. Mater., 1999, 11, 3386–393.</t>
  </si>
  <si>
    <t>Rajić, M; Sućeska, M. Study of Thermal Decomposition Kinetics of Low-Temperature Reaction of Ammonium Perchlorate by Isothermal TG. J. Therm. Anal. Calorim., 2001, 63, 375–386.</t>
  </si>
  <si>
    <t>Morisaki, S.; Komayima, K. Differential Thermal Analysis and Thermogravimetry of Ammonium Perchlorate at Pressure Up to 51 Atm. Thermochim. Acta, 1975, 12, 239–251.</t>
  </si>
  <si>
    <t>Lang, A. J.; Vyazovkin, S. Effect of Pressure and Sample Type on Decomposition of Ammonium Perchlorate. Combust. Flame, 2006, 145, 779–790.</t>
  </si>
  <si>
    <r>
      <t>35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3</t>
    </r>
  </si>
  <si>
    <r>
      <t>37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</si>
  <si>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  <scheme val="minor"/>
      </rPr>
      <t>35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4</t>
    </r>
  </si>
  <si>
    <r>
      <rPr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  <scheme val="minor"/>
      </rPr>
      <t>37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4</t>
    </r>
  </si>
  <si>
    <r>
      <t>30. Chunhui, L.; Gongyi, H.; Benming, C.; Dianxum, W.; Peel, J. B. He I Photoelectron Spectroscopic (PES) Study on the Electron Structure of Perchloric Acid, HOClO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and Fluorine Perchlorate, FOClO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J. Phys. Chem. A, 1998, 102, 3877–3879.</t>
    </r>
  </si>
  <si>
    <t>PIE</t>
  </si>
  <si>
    <r>
      <t>1. Fennelly, J. A.; Torr, D. G. Photoionization and Photoabsorption Cross Sections of O,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and N for Aeronomic Calculations. At. Data Nucl. Data Tables, 1992, 51, 321–363.</t>
    </r>
  </si>
  <si>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>(O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</si>
  <si>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>(OH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</si>
  <si>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>(NO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</si>
  <si>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>(NO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</si>
  <si>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t>2. Edvardsson, D.; Baltzer, P.; Karlsson, L.; Wannberg, B.; Holland, D. M. P.; Shaw, D. A.; Rennie, E. E. A photoabsorption, Photodissociation and Photoelectron Spectroscopy Study of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ND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J. Phys. B: At. Mol. Opt. Phys., 1999, 32, 2583–2610.</t>
    </r>
  </si>
  <si>
    <r>
      <t>3. Dehmer, P. M.; Holland, D. M. P. Photoionization of Rotationally Cooled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and 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in the Region 650–990 Å. J. Chem. Phys., 1991, 94, 3302–3314.</t>
    </r>
  </si>
  <si>
    <r>
      <t>4. Ehrhardt, H.; Kresling, A. Die Dissoziative Ionisation von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und Äthan. Z. Naturforsch., 1967, 22a, 2036–2043.</t>
    </r>
  </si>
  <si>
    <t>5. Dibeler, V. H.; Walker, J. A.; Rosenstock, H. M. Mass Spectrometric Study of Photoionization. V. Water and Ammonia. J. Res. NBS, 1966, 70A, 459–463.</t>
  </si>
  <si>
    <t>6. Erman, P.; Karawajczyk, A.; Rachlew‐Källne, K.; Strömholm, C. Photoionization and Photodissociation of Nitric Oxide in the Range 9–35 eV. J. Chem. Phys., 1995, 102, 3064–3076.</t>
  </si>
  <si>
    <t>7. Holland, D. M. P.; Shaw, D. A; McSweeney, S. M.; MacDonald, M. A.; Hopkirk, A.; Hayes, M. A. A Study of the Absolute Photoabsorption, Photoionization and Photodissociation Cross Sections and the Photoionization Quantum Efficiency of Oxygen from the Ionization Threshold to 490 Å. Chem. Phys., 1993, 173, 315–331.</t>
  </si>
  <si>
    <r>
      <t>8. Blyth, R. C. G.; Powis, I.; Danby, C. J. Competing Pre-Dissociations of O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(B̃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Σ</t>
    </r>
    <r>
      <rPr>
        <vertAlign val="subscript"/>
        <sz val="11"/>
        <color theme="1"/>
        <rFont val="Calibri"/>
        <family val="2"/>
        <scheme val="minor"/>
      </rPr>
      <t>g</t>
    </r>
    <r>
      <rPr>
        <vertAlign val="superscript"/>
        <sz val="11"/>
        <color theme="1"/>
        <rFont val="Calibri"/>
        <family val="2"/>
        <scheme val="minor"/>
      </rPr>
      <t>–</t>
    </r>
    <r>
      <rPr>
        <sz val="11"/>
        <color theme="1"/>
        <rFont val="Calibri"/>
        <family val="2"/>
        <scheme val="minor"/>
      </rPr>
      <t>). Chem. Phys. Lett., 1981, 84, 272–275.</t>
    </r>
  </si>
  <si>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>(Cl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</si>
  <si>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t>9. Nicholson, A. J. C. Photoionization-Efficiency Curves. II. False and Genuine Structure. J. Chem. Phys., 1965, 43, 1171–1177.</t>
  </si>
  <si>
    <t>10. Krauss, M.; Walker, J. A.; Dibeler, V. H. Mass Spectrometric Study of Photoionization. X. Hydrogen Chloride and Methyl Halides. J. Res. NBS, 1968, 72A, 281–293.</t>
  </si>
  <si>
    <t>11. Shaw, D. A.; Holland, D. M. P.; MacDonald, M. A.; Hopkirk, A.; Hayes, M. A.; McSweeney, S. M. A Study of the Absolute Photoabsorption Cross Section and the Photoionization Quantum Efficiency of Nitrous Oxide from the Ionization Threshold to 480 Å. Chem. Phys., 1992, 163, 387–404.</t>
  </si>
  <si>
    <r>
      <t>Table S4. Rate constants of the reactions that may occur during the thermal decomposition of ammonium perchlorates. Units are given in 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mol</t>
    </r>
    <r>
      <rPr>
        <vertAlign val="superscript"/>
        <sz val="11"/>
        <color theme="1"/>
        <rFont val="Calibri"/>
        <family val="2"/>
        <scheme val="minor"/>
      </rPr>
      <t>–1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scheme val="minor"/>
      </rPr>
      <t>–1</t>
    </r>
    <r>
      <rPr>
        <sz val="11"/>
        <color theme="1"/>
        <rFont val="Calibri"/>
        <family val="2"/>
        <scheme val="minor"/>
      </rPr>
      <t xml:space="preserve"> (second-order reaction) or in s</t>
    </r>
    <r>
      <rPr>
        <vertAlign val="superscript"/>
        <sz val="11"/>
        <color theme="1"/>
        <rFont val="Calibri"/>
        <family val="2"/>
        <scheme val="minor"/>
      </rPr>
      <t>–1</t>
    </r>
    <r>
      <rPr>
        <sz val="11"/>
        <color theme="1"/>
        <rFont val="Calibri"/>
        <family val="2"/>
        <scheme val="minor"/>
      </rPr>
      <t xml:space="preserve"> (first-order reaction).</t>
    </r>
  </si>
  <si>
    <r>
      <t xml:space="preserve">Table S2. References used for </t>
    </r>
    <r>
      <rPr>
        <i/>
        <sz val="11"/>
        <color theme="1"/>
        <rFont val="Calibri"/>
        <family val="2"/>
        <scheme val="minor"/>
      </rPr>
      <t>IE</t>
    </r>
    <r>
      <rPr>
        <sz val="11"/>
        <color theme="1"/>
        <rFont val="Calibri"/>
        <family val="2"/>
        <scheme val="minor"/>
      </rPr>
      <t xml:space="preserve"> values.</t>
    </r>
  </si>
  <si>
    <r>
      <t xml:space="preserve">Table S3. References used for PIE and </t>
    </r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 xml:space="preserve"> values.</t>
    </r>
  </si>
  <si>
    <t>12. Dibeler, V. H.; Walker, J. A.; Liston, S. K. Mass Spectrometric Study of Photoionization. VII. Nitrogen Dioxide and Nitrous Oxide. J.Res. NBS, 1967, 71A, 371–378.</t>
  </si>
  <si>
    <r>
      <t xml:space="preserve">13. Coppens, P.; Smets, J.; Fishel, M. G.; Drowart, J. Mass Spectrometric Study of the Photoionization of Nitrous Oxide in the Wavelength Interval 1000-600 </t>
    </r>
    <r>
      <rPr>
        <sz val="11"/>
        <color theme="1"/>
        <rFont val="Calibri"/>
        <family val="2"/>
      </rPr>
      <t>Å</t>
    </r>
    <r>
      <rPr>
        <sz val="11"/>
        <color theme="1"/>
        <rFont val="Calibri"/>
        <family val="2"/>
        <scheme val="minor"/>
      </rPr>
      <t>. Int. J. Mass Spectrom. Ion Phys., 1974, 14, 57–74.</t>
    </r>
  </si>
  <si>
    <t>14. Au, J. W.; Brion, C. E. Absolute Oscillator Strenghts for the Valence-Shell Photoabsorption (2–200 eV) and the Molecular and Dissociative Photoionization (11–80 eV) of Nitrogen Dioxide. Chem. Phys., 218, 109–126.</t>
  </si>
  <si>
    <r>
      <t>15. Thorn, R. P., Jr.; Stief, L. J.; Kuo, S.-C.; Klemm, R. B. Ionization Energy of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and ClO, Appearance Energy of ClO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(Cl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O), and Heat of Formation of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O. J. Phys. Chem., 1996, 100, 14178–14183.</t>
    </r>
  </si>
  <si>
    <t>16. Thorn Jr., R. P.; Stief, L. J.; Kuo, S.-C.; Klemm, R. B. Photoionization Mass Spectrometric Study of HOCl: Photoionization Efficiency Spectrum and Ionization Energy. J. Phys. Chem. A, 1999, 103, 812–815.</t>
  </si>
  <si>
    <t>17. Monks, P. S.; Stief, L. J.; Krauss, M.; Kuo, S. C.; Zhang, Z.; Klemm, R. B. A Discharge Flow-Photoionization Mass Spectrometric Study of the NO3(2A2') Radical: Photoionization Spectrum, Adiabatic Ionization Energy, and Ground State Symmetry. J. Phys. Chem., 1994, 98, 10017–10022.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</si>
  <si>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isomers</t>
    </r>
  </si>
  <si>
    <r>
      <t>18. Jochims, H.-W.; Denzer, W.; Baumgärtel, H.; Losking, O.; Willner, H. Photochemical Decay Reactions of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, HNO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ClNO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BrNO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 the energy range 10–20 eV. Ber. Bunsen-Ges. Phys. Chem., 1992, 96, 573–578.</t>
    </r>
  </si>
  <si>
    <t>19. Flesch, R.; Rühl, E.; Hottmann, K.; Baumgärtel, H. Photoabsorption and Photoionization of Chlorine Dioxide. J. Phys. Chem., 1993, 97, 837–844.</t>
  </si>
  <si>
    <r>
      <rPr>
        <i/>
        <sz val="11"/>
        <color theme="1"/>
        <rFont val="Calibri"/>
        <family val="2"/>
        <scheme val="minor"/>
      </rPr>
      <t>AE</t>
    </r>
    <r>
      <rPr>
        <sz val="11"/>
        <color theme="1"/>
        <rFont val="Calibri"/>
        <family val="2"/>
        <scheme val="minor"/>
      </rPr>
      <t>(ClO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</si>
  <si>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t>20. Berkowitz, J.; Mayhew, C. A.; Ruščić, B. Photoion-Pair Formation in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Chem. Phys., 1988, 123, 317–328.</t>
    </r>
  </si>
  <si>
    <r>
      <t>21. Frost, D. C.; McDowell, C. A. Recent Electron Impact Studies on Simple Molecules (O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I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), Advan. Mass Spectrom., 1959, 1, 413–430. </t>
    </r>
  </si>
  <si>
    <t>29. Alekseev, V. I.; Zyubina, T. S.; Zyubin, A. S.; Baluev, A. V. Mass-Spectrometric and Quantum-Chemical Investigation of Thermochemical Characteristics of Chlorine Oxides. Bull. Acad. Sci. USSR, Div. Chem. Sci., 1989, 38, 2092–2096.</t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</si>
  <si>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35</t>
    </r>
    <r>
      <rPr>
        <sz val="11"/>
        <color theme="1"/>
        <rFont val="Calibri"/>
        <family val="2"/>
        <scheme val="minor"/>
      </rPr>
      <t>Cl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</si>
  <si>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37</t>
    </r>
    <r>
      <rPr>
        <sz val="11"/>
        <color theme="1"/>
        <rFont val="Calibri"/>
        <family val="2"/>
        <scheme val="minor"/>
      </rPr>
      <t>Cl</t>
    </r>
  </si>
  <si>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)[A]</t>
    </r>
    <r>
      <rPr>
        <i/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[B]</t>
    </r>
    <r>
      <rPr>
        <i/>
        <vertAlign val="superscript"/>
        <sz val="11"/>
        <color theme="1"/>
        <rFont val="Calibri"/>
        <family val="2"/>
        <scheme val="minor"/>
      </rPr>
      <t>b</t>
    </r>
  </si>
  <si>
    <r>
      <t xml:space="preserve">The rate of reaction is determined by its rate constant as well as the concentration of the reactant(s) in the sample. Namely, for an elementary step of a complex chemical reaction with a general formula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A +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B → </t>
    </r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C +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D, the rate of reaction can be expressed as follows:</t>
    </r>
  </si>
  <si>
    <r>
      <t xml:space="preserve">where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is the rate of reaction, whereas [X]</t>
    </r>
    <r>
      <rPr>
        <i/>
        <vertAlign val="super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denotes the concentration of species X at a given timestep, and 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represents the stoichiometric number of species X in that particular reaction. Note that the reaction rate constant 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is dependent on the temperature (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).</t>
    </r>
  </si>
  <si>
    <r>
      <t>Although the reaction rate constants of the elementary steps occurring during the pyrolysis of 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can be calculated using the equations listed in Table S4, the decay/growth profiles of the parent molecule/products cannot be determined. This is due to the fact that the absolute photoionization cross-sections of the species taking part in the pyrolyis are unkown. By knowing the absolute photoionization cross-sections, the calculation of the concentrations at a given timestep, therefore the determination of the exact reaction rates would become feasible. Nonetheless, keeping in mind the findings discussed in Section 4.2 and by using the calculated rate constants a tentative reaction scheme with the most important degradation pathways can be proposed giving a qualitative view on the processes that may occur in 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ClO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sample during its low-temperature pyrolysis.</t>
    </r>
  </si>
  <si>
    <t>A vacuum ultraviolet photoionization study on the thermal decomposition of ammonium perchlorate</t>
  </si>
  <si>
    <t>Supplementary Material</t>
  </si>
  <si>
    <r>
      <t>Sándor Góbi</t>
    </r>
    <r>
      <rPr>
        <vertAlign val="superscript"/>
        <sz val="10"/>
        <color theme="1"/>
        <rFont val="Times New Roman"/>
        <family val="1"/>
      </rPr>
      <t>a,b</t>
    </r>
    <r>
      <rPr>
        <sz val="10"/>
        <color theme="1"/>
        <rFont val="Times New Roman"/>
        <family val="1"/>
      </rPr>
      <t>, Long Zhao</t>
    </r>
    <r>
      <rPr>
        <vertAlign val="superscript"/>
        <sz val="10"/>
        <color theme="1"/>
        <rFont val="Times New Roman"/>
        <family val="1"/>
      </rPr>
      <t>a,b</t>
    </r>
    <r>
      <rPr>
        <sz val="10"/>
        <color theme="1"/>
        <rFont val="Times New Roman"/>
        <family val="1"/>
      </rPr>
      <t>, Bo Xu</t>
    </r>
    <r>
      <rPr>
        <vertAlign val="super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>, Utuq Ablikim</t>
    </r>
    <r>
      <rPr>
        <vertAlign val="super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>, Musahid Ahmed</t>
    </r>
    <r>
      <rPr>
        <vertAlign val="super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>, Ralf I. Kaiser</t>
    </r>
    <r>
      <rPr>
        <vertAlign val="superscript"/>
        <sz val="10"/>
        <color theme="1"/>
        <rFont val="Times New Roman"/>
        <family val="1"/>
      </rPr>
      <t>a,b,*</t>
    </r>
  </si>
  <si>
    <r>
      <t>a</t>
    </r>
    <r>
      <rPr>
        <sz val="10"/>
        <color theme="1"/>
        <rFont val="Times New Roman"/>
        <family val="1"/>
      </rPr>
      <t xml:space="preserve"> Department of Chemistry, University of Hawai‘i at Mānoa, Honolulu, HI 96822, USA</t>
    </r>
  </si>
  <si>
    <r>
      <rPr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 W.M. Keck Laboratory in Astrochemistry, University of Hawai‘i at Mānoa, Honolulu, HI 96822, USA</t>
    </r>
  </si>
  <si>
    <r>
      <t>c</t>
    </r>
    <r>
      <rPr>
        <sz val="10"/>
        <color theme="1"/>
        <rFont val="Times New Roman"/>
        <family val="1"/>
      </rPr>
      <t xml:space="preserve"> Chemical Sciences Division, Lawrence Berkeley National Laboratory, Berkeley, California 94720,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</si>
</sst>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i/>
      <sz val="11"/>
      <color theme="1"/>
      <name val="Calibri"/>
      <family val="2"/>
    </font>
    <font>
      <i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Symbol"/>
      <family val="1"/>
      <charset val="2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i/>
      <vertAlign val="subscript"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rgb="FF22222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11" fontId="0" fillId="0" borderId="0" xfId="0" applyNumberFormat="1"/>
    <xf numFmtId="11" fontId="0" fillId="0" borderId="0" xfId="0" applyNumberFormat="1" applyAlignment="1">
      <alignment horizontal="center"/>
    </xf>
    <xf numFmtId="11" fontId="4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/>
    <xf numFmtId="11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1" fontId="0" fillId="0" borderId="0" xfId="0" applyNumberFormat="1" applyAlignment="1">
      <alignment horizontal="right"/>
    </xf>
    <xf numFmtId="11" fontId="0" fillId="0" borderId="1" xfId="0" applyNumberFormat="1" applyBorder="1" applyAlignment="1">
      <alignment horizontal="left" vertical="center"/>
    </xf>
    <xf numFmtId="11" fontId="0" fillId="0" borderId="0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left"/>
    </xf>
    <xf numFmtId="1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1" fontId="0" fillId="0" borderId="0" xfId="0" applyNumberFormat="1" applyBorder="1" applyAlignment="1">
      <alignment horizontal="left"/>
    </xf>
    <xf numFmtId="11" fontId="0" fillId="0" borderId="1" xfId="0" applyNumberFormat="1" applyBorder="1" applyAlignment="1">
      <alignment horizontal="left" vertical="center" wrapText="1"/>
    </xf>
    <xf numFmtId="11" fontId="0" fillId="0" borderId="1" xfId="0" applyNumberFormat="1" applyBorder="1" applyAlignment="1">
      <alignment vertical="center"/>
    </xf>
    <xf numFmtId="11" fontId="0" fillId="0" borderId="0" xfId="0" applyNumberFormat="1" applyFill="1" applyBorder="1" applyAlignment="1">
      <alignment horizontal="right"/>
    </xf>
    <xf numFmtId="0" fontId="0" fillId="0" borderId="0" xfId="0" applyBorder="1"/>
    <xf numFmtId="11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Fill="1" applyBorder="1" applyAlignment="1">
      <alignment horizontal="center"/>
    </xf>
    <xf numFmtId="11" fontId="0" fillId="0" borderId="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11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1" fontId="0" fillId="0" borderId="0" xfId="0" applyNumberFormat="1" applyBorder="1" applyAlignment="1">
      <alignment horizontal="center"/>
    </xf>
    <xf numFmtId="11" fontId="0" fillId="0" borderId="0" xfId="0" applyNumberFormat="1" applyFont="1" applyBorder="1" applyAlignment="1">
      <alignment horizontal="left"/>
    </xf>
    <xf numFmtId="0" fontId="0" fillId="0" borderId="0" xfId="0" applyBorder="1" applyAlignment="1">
      <alignment vertical="center"/>
    </xf>
    <xf numFmtId="0" fontId="3" fillId="0" borderId="1" xfId="0" applyFont="1" applyBorder="1" applyAlignment="1"/>
    <xf numFmtId="11" fontId="0" fillId="0" borderId="1" xfId="0" applyNumberFormat="1" applyFill="1" applyBorder="1" applyAlignment="1">
      <alignment horizontal="left"/>
    </xf>
    <xf numFmtId="11" fontId="0" fillId="0" borderId="0" xfId="0" applyNumberFormat="1" applyBorder="1" applyAlignment="1">
      <alignment horizontal="center" vertical="center"/>
    </xf>
    <xf numFmtId="0" fontId="3" fillId="0" borderId="3" xfId="0" applyFont="1" applyBorder="1" applyAlignment="1"/>
    <xf numFmtId="0" fontId="0" fillId="0" borderId="3" xfId="0" applyBorder="1"/>
    <xf numFmtId="11" fontId="0" fillId="0" borderId="3" xfId="0" applyNumberFormat="1" applyBorder="1"/>
    <xf numFmtId="11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3" xfId="0" applyFont="1" applyBorder="1"/>
    <xf numFmtId="11" fontId="0" fillId="0" borderId="3" xfId="0" applyNumberFormat="1" applyBorder="1" applyAlignment="1">
      <alignment vertical="center"/>
    </xf>
    <xf numFmtId="1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11" fontId="5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Border="1"/>
    <xf numFmtId="11" fontId="0" fillId="0" borderId="0" xfId="0" applyNumberFormat="1" applyFill="1" applyBorder="1"/>
    <xf numFmtId="0" fontId="0" fillId="0" borderId="1" xfId="0" applyBorder="1" applyAlignment="1"/>
    <xf numFmtId="11" fontId="0" fillId="0" borderId="1" xfId="0" applyNumberFormat="1" applyBorder="1" applyAlignment="1"/>
    <xf numFmtId="11" fontId="0" fillId="0" borderId="1" xfId="0" applyNumberFormat="1" applyFont="1" applyBorder="1" applyAlignment="1"/>
    <xf numFmtId="11" fontId="0" fillId="0" borderId="1" xfId="0" applyNumberFormat="1" applyFill="1" applyBorder="1" applyAlignment="1">
      <alignment vertical="center" wrapText="1"/>
    </xf>
    <xf numFmtId="11" fontId="0" fillId="0" borderId="8" xfId="0" applyNumberFormat="1" applyFill="1" applyBorder="1" applyAlignment="1">
      <alignment horizontal="left"/>
    </xf>
    <xf numFmtId="11" fontId="0" fillId="0" borderId="3" xfId="0" applyNumberFormat="1" applyFont="1" applyBorder="1" applyAlignment="1">
      <alignment horizontal="left"/>
    </xf>
    <xf numFmtId="49" fontId="10" fillId="0" borderId="0" xfId="1" applyNumberFormat="1" applyAlignment="1">
      <alignment horizontal="center"/>
    </xf>
    <xf numFmtId="0" fontId="0" fillId="0" borderId="0" xfId="0" applyAlignment="1">
      <alignment horizontal="left" vertical="center" wrapText="1"/>
    </xf>
    <xf numFmtId="49" fontId="10" fillId="0" borderId="0" xfId="1" applyNumberFormat="1" applyAlignment="1">
      <alignment horizontal="center"/>
    </xf>
    <xf numFmtId="49" fontId="10" fillId="0" borderId="0" xfId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10" fillId="0" borderId="0" xfId="1" applyNumberFormat="1" applyFill="1" applyBorder="1" applyAlignment="1">
      <alignment horizontal="center"/>
    </xf>
    <xf numFmtId="0" fontId="0" fillId="0" borderId="0" xfId="0" applyFont="1" applyBorder="1"/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10" fillId="0" borderId="0" xfId="1" applyNumberFormat="1" applyBorder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10" fillId="0" borderId="0" xfId="1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 indent="3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0" fillId="0" borderId="0" xfId="1" quotePrefix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1" quotePrefix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1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0" fillId="0" borderId="0" xfId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0" fillId="0" borderId="0" xfId="1" quotePrefix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1" xfId="0" applyNumberFormat="1" applyBorder="1" applyAlignment="1">
      <alignment horizontal="left" vertical="center"/>
    </xf>
    <xf numFmtId="49" fontId="10" fillId="0" borderId="0" xfId="1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0" borderId="0" xfId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10" fillId="0" borderId="0" xfId="1" applyNumberFormat="1" applyFill="1" applyBorder="1" applyAlignment="1">
      <alignment horizontal="center" vertical="center"/>
    </xf>
    <xf numFmtId="49" fontId="10" fillId="0" borderId="9" xfId="1" applyNumberFormat="1" applyBorder="1" applyAlignment="1">
      <alignment horizontal="center"/>
    </xf>
    <xf numFmtId="49" fontId="10" fillId="0" borderId="0" xfId="1" applyNumberFormat="1" applyAlignment="1">
      <alignment horizontal="center"/>
    </xf>
    <xf numFmtId="0" fontId="10" fillId="0" borderId="0" xfId="1" applyAlignment="1">
      <alignment horizontal="center"/>
    </xf>
    <xf numFmtId="11" fontId="0" fillId="0" borderId="1" xfId="0" applyNumberFormat="1" applyFill="1" applyBorder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1" fontId="0" fillId="0" borderId="3" xfId="0" applyNumberFormat="1" applyBorder="1" applyAlignment="1">
      <alignment horizontal="left" vertical="center"/>
    </xf>
    <xf numFmtId="11" fontId="0" fillId="0" borderId="0" xfId="0" applyNumberFormat="1" applyFill="1" applyBorder="1" applyAlignment="1">
      <alignment horizontal="left" vertical="center"/>
    </xf>
    <xf numFmtId="11" fontId="0" fillId="0" borderId="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1" fontId="0" fillId="0" borderId="0" xfId="0" applyNumberForma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/>
    </xf>
    <xf numFmtId="11" fontId="0" fillId="0" borderId="2" xfId="0" applyNumberFormat="1" applyBorder="1" applyAlignment="1">
      <alignment horizontal="right" vertical="center"/>
    </xf>
    <xf numFmtId="11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1" fontId="0" fillId="0" borderId="1" xfId="0" applyNumberFormat="1" applyBorder="1" applyAlignment="1">
      <alignment horizontal="left" vertical="center" wrapText="1"/>
    </xf>
    <xf numFmtId="11" fontId="0" fillId="0" borderId="1" xfId="0" applyNumberFormat="1" applyFill="1" applyBorder="1" applyAlignment="1">
      <alignment vertical="center" wrapText="1"/>
    </xf>
    <xf numFmtId="11" fontId="0" fillId="0" borderId="0" xfId="0" applyNumberFormat="1" applyAlignment="1">
      <alignment horizontal="right" vertical="center"/>
    </xf>
    <xf numFmtId="11" fontId="0" fillId="0" borderId="10" xfId="0" applyNumberForma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5</xdr:row>
      <xdr:rowOff>19050</xdr:rowOff>
    </xdr:from>
    <xdr:to>
      <xdr:col>0</xdr:col>
      <xdr:colOff>9463278</xdr:colOff>
      <xdr:row>40</xdr:row>
      <xdr:rowOff>8382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9105900"/>
          <a:ext cx="8720328" cy="6656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lfk@hawaii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8" sqref="A8"/>
    </sheetView>
  </sheetViews>
  <sheetFormatPr defaultRowHeight="15" x14ac:dyDescent="0.25"/>
  <cols>
    <col min="1" max="1" width="164.28515625" bestFit="1" customWidth="1"/>
  </cols>
  <sheetData>
    <row r="1" spans="1:1" x14ac:dyDescent="0.25">
      <c r="A1" s="39" t="s">
        <v>722</v>
      </c>
    </row>
    <row r="2" spans="1:1" ht="20.25" x14ac:dyDescent="0.3">
      <c r="A2" s="172" t="s">
        <v>721</v>
      </c>
    </row>
    <row r="3" spans="1:1" ht="16.5" x14ac:dyDescent="0.25">
      <c r="A3" s="40" t="s">
        <v>723</v>
      </c>
    </row>
    <row r="4" spans="1:1" x14ac:dyDescent="0.25">
      <c r="A4" s="40"/>
    </row>
    <row r="5" spans="1:1" ht="15.75" x14ac:dyDescent="0.25">
      <c r="A5" s="37" t="s">
        <v>724</v>
      </c>
    </row>
    <row r="6" spans="1:1" ht="15.75" x14ac:dyDescent="0.25">
      <c r="A6" s="38" t="s">
        <v>725</v>
      </c>
    </row>
    <row r="7" spans="1:1" ht="15.75" x14ac:dyDescent="0.25">
      <c r="A7" s="37" t="s">
        <v>726</v>
      </c>
    </row>
    <row r="8" spans="1:1" x14ac:dyDescent="0.25">
      <c r="A8" s="41" t="s">
        <v>133</v>
      </c>
    </row>
  </sheetData>
  <hyperlinks>
    <hyperlink ref="A8" r:id="rId1" display="mailto:ralfk@hawaii.edu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5" x14ac:dyDescent="0.25"/>
  <cols>
    <col min="1" max="1" width="173.7109375" customWidth="1"/>
  </cols>
  <sheetData>
    <row r="1" spans="1:1" x14ac:dyDescent="0.25">
      <c r="A1" t="s">
        <v>615</v>
      </c>
    </row>
    <row r="2" spans="1:1" x14ac:dyDescent="0.25">
      <c r="A2" t="s">
        <v>700</v>
      </c>
    </row>
    <row r="3" spans="1:1" x14ac:dyDescent="0.25">
      <c r="A3" t="s">
        <v>701</v>
      </c>
    </row>
    <row r="4" spans="1:1" ht="32.25" x14ac:dyDescent="0.25">
      <c r="A4" s="101" t="s">
        <v>699</v>
      </c>
    </row>
    <row r="5" spans="1:1" x14ac:dyDescent="0.25">
      <c r="A5" t="s">
        <v>614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4" sqref="A4"/>
    </sheetView>
  </sheetViews>
  <sheetFormatPr defaultRowHeight="15" x14ac:dyDescent="0.25"/>
  <cols>
    <col min="2" max="2" width="173.7109375" customWidth="1"/>
  </cols>
  <sheetData>
    <row r="1" spans="1:2" ht="15.75" thickBot="1" x14ac:dyDescent="0.3">
      <c r="A1" s="114" t="s">
        <v>665</v>
      </c>
      <c r="B1" s="107" t="s">
        <v>34</v>
      </c>
    </row>
    <row r="2" spans="1:2" ht="30" x14ac:dyDescent="0.25">
      <c r="A2" s="115">
        <v>1</v>
      </c>
      <c r="B2" s="106" t="s">
        <v>666</v>
      </c>
    </row>
    <row r="3" spans="1:2" x14ac:dyDescent="0.25">
      <c r="A3" s="115">
        <v>2</v>
      </c>
      <c r="B3" s="106" t="s">
        <v>667</v>
      </c>
    </row>
    <row r="4" spans="1:2" x14ac:dyDescent="0.25">
      <c r="A4" s="115">
        <v>3</v>
      </c>
      <c r="B4" s="106" t="s">
        <v>668</v>
      </c>
    </row>
    <row r="5" spans="1:2" x14ac:dyDescent="0.25">
      <c r="A5" s="115">
        <v>4</v>
      </c>
      <c r="B5" s="106" t="s">
        <v>669</v>
      </c>
    </row>
    <row r="6" spans="1:2" x14ac:dyDescent="0.25">
      <c r="A6" s="115">
        <v>5</v>
      </c>
      <c r="B6" s="106" t="s">
        <v>670</v>
      </c>
    </row>
    <row r="7" spans="1:2" x14ac:dyDescent="0.25">
      <c r="A7" s="115">
        <v>6</v>
      </c>
      <c r="B7" s="106" t="s">
        <v>671</v>
      </c>
    </row>
    <row r="8" spans="1:2" ht="18" x14ac:dyDescent="0.25">
      <c r="A8" s="115">
        <v>7</v>
      </c>
      <c r="B8" s="106" t="s">
        <v>672</v>
      </c>
    </row>
    <row r="9" spans="1:2" x14ac:dyDescent="0.25">
      <c r="A9" s="115">
        <v>8</v>
      </c>
      <c r="B9" s="106" t="s">
        <v>673</v>
      </c>
    </row>
    <row r="10" spans="1:2" x14ac:dyDescent="0.25">
      <c r="A10" s="115">
        <v>9</v>
      </c>
      <c r="B10" s="106" t="s">
        <v>674</v>
      </c>
    </row>
    <row r="11" spans="1:2" x14ac:dyDescent="0.25">
      <c r="A11" s="115">
        <v>10</v>
      </c>
      <c r="B11" s="106" t="s">
        <v>675</v>
      </c>
    </row>
    <row r="12" spans="1:2" x14ac:dyDescent="0.25">
      <c r="A12" s="115">
        <v>11</v>
      </c>
      <c r="B12" s="106" t="s">
        <v>676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D23" sqref="D23"/>
    </sheetView>
  </sheetViews>
  <sheetFormatPr defaultRowHeight="15" x14ac:dyDescent="0.25"/>
  <cols>
    <col min="1" max="1" width="6.5703125" bestFit="1" customWidth="1"/>
    <col min="2" max="2" width="11.42578125" bestFit="1" customWidth="1"/>
    <col min="3" max="4" width="12.5703125" bestFit="1" customWidth="1"/>
    <col min="6" max="6" width="173.7109375" style="103" customWidth="1"/>
  </cols>
  <sheetData>
    <row r="1" spans="1:6" ht="16.5" customHeight="1" x14ac:dyDescent="0.25">
      <c r="A1" s="133" t="s">
        <v>646</v>
      </c>
      <c r="B1" s="132" t="s">
        <v>616</v>
      </c>
      <c r="C1" s="132" t="s">
        <v>617</v>
      </c>
      <c r="D1" s="132"/>
      <c r="F1" s="105" t="s">
        <v>618</v>
      </c>
    </row>
    <row r="2" spans="1:6" ht="18.75" thickBot="1" x14ac:dyDescent="0.3">
      <c r="A2" s="134"/>
      <c r="B2" s="135"/>
      <c r="C2" s="112" t="s">
        <v>647</v>
      </c>
      <c r="D2" s="113" t="s">
        <v>648</v>
      </c>
      <c r="F2" s="105" t="s">
        <v>619</v>
      </c>
    </row>
    <row r="3" spans="1:6" ht="19.5" customHeight="1" x14ac:dyDescent="0.25">
      <c r="A3" s="108">
        <v>16</v>
      </c>
      <c r="B3" s="108" t="s">
        <v>14</v>
      </c>
      <c r="C3" s="109">
        <v>1</v>
      </c>
      <c r="D3" s="109">
        <v>1</v>
      </c>
      <c r="F3" s="105" t="s">
        <v>639</v>
      </c>
    </row>
    <row r="4" spans="1:6" ht="18" x14ac:dyDescent="0.25">
      <c r="A4" s="132">
        <v>17</v>
      </c>
      <c r="B4" s="108" t="s">
        <v>38</v>
      </c>
      <c r="C4" s="110">
        <v>2</v>
      </c>
      <c r="D4" s="110">
        <v>3</v>
      </c>
      <c r="F4" s="105" t="s">
        <v>638</v>
      </c>
    </row>
    <row r="5" spans="1:6" x14ac:dyDescent="0.25">
      <c r="A5" s="132"/>
      <c r="B5" s="108" t="s">
        <v>6</v>
      </c>
      <c r="C5" s="110">
        <v>4</v>
      </c>
      <c r="D5" s="110">
        <v>5</v>
      </c>
      <c r="F5" s="105" t="s">
        <v>637</v>
      </c>
    </row>
    <row r="6" spans="1:6" ht="18" x14ac:dyDescent="0.25">
      <c r="A6" s="108">
        <v>18</v>
      </c>
      <c r="B6" s="108" t="s">
        <v>649</v>
      </c>
      <c r="C6" s="110">
        <v>6</v>
      </c>
      <c r="D6" s="110">
        <v>7</v>
      </c>
      <c r="F6" s="105" t="s">
        <v>620</v>
      </c>
    </row>
    <row r="7" spans="1:6" ht="18" x14ac:dyDescent="0.25">
      <c r="A7" s="108">
        <v>28</v>
      </c>
      <c r="B7" s="108" t="s">
        <v>77</v>
      </c>
      <c r="C7" s="110">
        <v>8</v>
      </c>
      <c r="D7" s="110">
        <v>9</v>
      </c>
      <c r="F7" s="105" t="s">
        <v>621</v>
      </c>
    </row>
    <row r="8" spans="1:6" ht="33" x14ac:dyDescent="0.25">
      <c r="A8" s="108">
        <v>30</v>
      </c>
      <c r="B8" s="108" t="s">
        <v>43</v>
      </c>
      <c r="C8" s="110">
        <v>10</v>
      </c>
      <c r="D8" s="110">
        <v>11</v>
      </c>
      <c r="F8" s="105" t="s">
        <v>636</v>
      </c>
    </row>
    <row r="9" spans="1:6" ht="18" x14ac:dyDescent="0.25">
      <c r="A9" s="108">
        <v>32</v>
      </c>
      <c r="B9" s="108" t="s">
        <v>23</v>
      </c>
      <c r="C9" s="110">
        <v>12</v>
      </c>
      <c r="D9" s="110">
        <v>13</v>
      </c>
      <c r="F9" s="105" t="s">
        <v>622</v>
      </c>
    </row>
    <row r="10" spans="1:6" ht="17.25" x14ac:dyDescent="0.25">
      <c r="A10" s="108">
        <v>35</v>
      </c>
      <c r="B10" s="111" t="s">
        <v>650</v>
      </c>
      <c r="C10" s="110">
        <v>14</v>
      </c>
      <c r="D10" s="110">
        <v>14</v>
      </c>
      <c r="F10" s="105" t="s">
        <v>623</v>
      </c>
    </row>
    <row r="11" spans="1:6" ht="17.25" x14ac:dyDescent="0.25">
      <c r="A11" s="108">
        <v>36</v>
      </c>
      <c r="B11" s="108" t="s">
        <v>651</v>
      </c>
      <c r="C11" s="110">
        <v>15</v>
      </c>
      <c r="D11" s="110">
        <v>15</v>
      </c>
      <c r="F11" s="105" t="s">
        <v>624</v>
      </c>
    </row>
    <row r="12" spans="1:6" ht="18.75" x14ac:dyDescent="0.25">
      <c r="A12" s="108">
        <v>37</v>
      </c>
      <c r="B12" s="111" t="s">
        <v>652</v>
      </c>
      <c r="C12" s="110">
        <v>14</v>
      </c>
      <c r="D12" s="110">
        <v>14</v>
      </c>
      <c r="F12" s="105" t="s">
        <v>635</v>
      </c>
    </row>
    <row r="13" spans="1:6" ht="18" x14ac:dyDescent="0.25">
      <c r="A13" s="108">
        <v>38</v>
      </c>
      <c r="B13" s="108" t="s">
        <v>653</v>
      </c>
      <c r="C13" s="110">
        <v>15</v>
      </c>
      <c r="D13" s="110">
        <v>15</v>
      </c>
      <c r="F13" s="105" t="s">
        <v>634</v>
      </c>
    </row>
    <row r="14" spans="1:6" ht="18" x14ac:dyDescent="0.25">
      <c r="A14" s="108">
        <v>44</v>
      </c>
      <c r="B14" s="108" t="s">
        <v>654</v>
      </c>
      <c r="C14" s="110">
        <v>16</v>
      </c>
      <c r="D14" s="110">
        <v>9</v>
      </c>
      <c r="F14" s="105" t="s">
        <v>625</v>
      </c>
    </row>
    <row r="15" spans="1:6" ht="18" x14ac:dyDescent="0.25">
      <c r="A15" s="108">
        <v>46</v>
      </c>
      <c r="B15" s="108" t="s">
        <v>44</v>
      </c>
      <c r="C15" s="110">
        <v>17</v>
      </c>
      <c r="D15" s="110">
        <v>18</v>
      </c>
      <c r="F15" s="105" t="s">
        <v>626</v>
      </c>
    </row>
    <row r="16" spans="1:6" ht="30" x14ac:dyDescent="0.25">
      <c r="A16" s="132">
        <v>51</v>
      </c>
      <c r="B16" s="111" t="s">
        <v>655</v>
      </c>
      <c r="C16" s="110">
        <v>19</v>
      </c>
      <c r="D16" s="110">
        <v>20</v>
      </c>
      <c r="F16" s="105" t="s">
        <v>627</v>
      </c>
    </row>
    <row r="17" spans="1:6" ht="18.75" x14ac:dyDescent="0.25">
      <c r="A17" s="132"/>
      <c r="B17" s="127" t="s">
        <v>715</v>
      </c>
      <c r="C17" s="126">
        <v>21</v>
      </c>
      <c r="D17" s="126">
        <v>21</v>
      </c>
      <c r="F17" s="105" t="s">
        <v>628</v>
      </c>
    </row>
    <row r="18" spans="1:6" ht="30" x14ac:dyDescent="0.25">
      <c r="A18" s="108">
        <v>52</v>
      </c>
      <c r="B18" s="108" t="s">
        <v>656</v>
      </c>
      <c r="C18" s="110">
        <v>21</v>
      </c>
      <c r="D18" s="110">
        <v>21</v>
      </c>
      <c r="F18" s="105" t="s">
        <v>629</v>
      </c>
    </row>
    <row r="19" spans="1:6" ht="33.75" x14ac:dyDescent="0.25">
      <c r="A19" s="132">
        <v>53</v>
      </c>
      <c r="B19" s="111" t="s">
        <v>657</v>
      </c>
      <c r="C19" s="110">
        <v>19</v>
      </c>
      <c r="D19" s="110">
        <v>20</v>
      </c>
      <c r="F19" s="105" t="s">
        <v>631</v>
      </c>
    </row>
    <row r="20" spans="1:6" ht="33.75" x14ac:dyDescent="0.25">
      <c r="A20" s="132"/>
      <c r="B20" s="127" t="s">
        <v>716</v>
      </c>
      <c r="C20" s="126">
        <v>21</v>
      </c>
      <c r="D20" s="126">
        <v>21</v>
      </c>
      <c r="F20" s="105" t="s">
        <v>630</v>
      </c>
    </row>
    <row r="21" spans="1:6" ht="33" x14ac:dyDescent="0.25">
      <c r="A21" s="108">
        <v>54</v>
      </c>
      <c r="B21" s="108" t="s">
        <v>658</v>
      </c>
      <c r="C21" s="110">
        <v>21</v>
      </c>
      <c r="D21" s="110">
        <v>21</v>
      </c>
      <c r="F21" s="105" t="s">
        <v>632</v>
      </c>
    </row>
    <row r="22" spans="1:6" ht="33.75" x14ac:dyDescent="0.25">
      <c r="A22" s="132">
        <v>62</v>
      </c>
      <c r="B22" s="108" t="s">
        <v>41</v>
      </c>
      <c r="C22" s="110">
        <v>22</v>
      </c>
      <c r="D22" s="110">
        <v>22</v>
      </c>
      <c r="F22" s="105" t="s">
        <v>633</v>
      </c>
    </row>
    <row r="23" spans="1:6" ht="36.75" x14ac:dyDescent="0.25">
      <c r="A23" s="132"/>
      <c r="B23" s="108" t="s">
        <v>659</v>
      </c>
      <c r="C23" s="110">
        <v>23</v>
      </c>
      <c r="D23" s="110">
        <v>23</v>
      </c>
      <c r="F23" s="105" t="s">
        <v>640</v>
      </c>
    </row>
    <row r="24" spans="1:6" ht="30" x14ac:dyDescent="0.25">
      <c r="A24" s="108">
        <v>63</v>
      </c>
      <c r="B24" s="108" t="s">
        <v>42</v>
      </c>
      <c r="C24" s="110">
        <v>24</v>
      </c>
      <c r="D24" s="110">
        <v>25</v>
      </c>
      <c r="F24" s="105" t="s">
        <v>641</v>
      </c>
    </row>
    <row r="25" spans="1:6" ht="18.75" x14ac:dyDescent="0.25">
      <c r="A25" s="108">
        <v>67</v>
      </c>
      <c r="B25" s="111" t="s">
        <v>660</v>
      </c>
      <c r="C25" s="110">
        <v>26</v>
      </c>
      <c r="D25" s="110">
        <v>26</v>
      </c>
      <c r="F25" s="105" t="s">
        <v>642</v>
      </c>
    </row>
    <row r="26" spans="1:6" ht="18.75" x14ac:dyDescent="0.25">
      <c r="A26" s="108">
        <v>69</v>
      </c>
      <c r="B26" s="111" t="s">
        <v>661</v>
      </c>
      <c r="C26" s="110">
        <v>26</v>
      </c>
      <c r="D26" s="110">
        <v>26</v>
      </c>
      <c r="F26" s="105" t="s">
        <v>643</v>
      </c>
    </row>
    <row r="27" spans="1:6" ht="30" x14ac:dyDescent="0.25">
      <c r="A27" s="108">
        <v>70</v>
      </c>
      <c r="B27" s="111" t="s">
        <v>662</v>
      </c>
      <c r="C27" s="131">
        <v>27</v>
      </c>
      <c r="D27" s="131">
        <v>28</v>
      </c>
      <c r="F27" s="105" t="s">
        <v>644</v>
      </c>
    </row>
    <row r="28" spans="1:6" ht="30" x14ac:dyDescent="0.25">
      <c r="A28" s="108">
        <v>72</v>
      </c>
      <c r="B28" s="111" t="s">
        <v>663</v>
      </c>
      <c r="C28" s="131"/>
      <c r="D28" s="131"/>
      <c r="F28" s="105" t="s">
        <v>645</v>
      </c>
    </row>
    <row r="29" spans="1:6" ht="30" x14ac:dyDescent="0.25">
      <c r="A29" s="108">
        <v>74</v>
      </c>
      <c r="B29" s="111" t="s">
        <v>664</v>
      </c>
      <c r="C29" s="131"/>
      <c r="D29" s="131"/>
      <c r="E29" s="102"/>
      <c r="F29" s="103" t="s">
        <v>714</v>
      </c>
    </row>
    <row r="30" spans="1:6" ht="36" x14ac:dyDescent="0.35">
      <c r="A30" s="116">
        <v>83</v>
      </c>
      <c r="B30" s="111" t="s">
        <v>677</v>
      </c>
      <c r="C30" s="110">
        <v>29</v>
      </c>
      <c r="D30" s="102" t="s">
        <v>12</v>
      </c>
      <c r="F30" s="103" t="s">
        <v>681</v>
      </c>
    </row>
    <row r="31" spans="1:6" ht="18.75" x14ac:dyDescent="0.25">
      <c r="A31" s="116">
        <v>85</v>
      </c>
      <c r="B31" s="111" t="s">
        <v>678</v>
      </c>
      <c r="C31" s="110">
        <v>29</v>
      </c>
      <c r="D31" s="102" t="s">
        <v>12</v>
      </c>
    </row>
    <row r="32" spans="1:6" ht="18.75" x14ac:dyDescent="0.25">
      <c r="A32" s="116">
        <v>100</v>
      </c>
      <c r="B32" s="111" t="s">
        <v>679</v>
      </c>
      <c r="C32" s="110">
        <v>30</v>
      </c>
      <c r="D32" s="110">
        <v>30</v>
      </c>
    </row>
    <row r="33" spans="1:4" ht="18.75" x14ac:dyDescent="0.25">
      <c r="A33" s="116">
        <v>102</v>
      </c>
      <c r="B33" s="111" t="s">
        <v>680</v>
      </c>
      <c r="C33" s="110">
        <v>30</v>
      </c>
      <c r="D33" s="110">
        <v>30</v>
      </c>
    </row>
  </sheetData>
  <mergeCells count="9">
    <mergeCell ref="C27:C29"/>
    <mergeCell ref="D27:D29"/>
    <mergeCell ref="A22:A23"/>
    <mergeCell ref="A1:A2"/>
    <mergeCell ref="B1:B2"/>
    <mergeCell ref="C1:D1"/>
    <mergeCell ref="A4:A5"/>
    <mergeCell ref="A16:A17"/>
    <mergeCell ref="A19:A20"/>
  </mergeCells>
  <hyperlinks>
    <hyperlink ref="C3" location="'Table S2'!F1" display="'Table S2'!F1"/>
    <hyperlink ref="D3" location="'Table S2'!F1" display="'Table S2'!F1"/>
    <hyperlink ref="C4" location="'Table S2'!F2" display="'Table S2'!F2"/>
    <hyperlink ref="D4" location="'Table S2'!F3" display="'Table S2'!F3"/>
    <hyperlink ref="C5" location="'Table S2'!F4" display="'Table S2'!F4"/>
    <hyperlink ref="D5" location="'Table S2'!F5" display="'Table S2'!F5"/>
    <hyperlink ref="C6" location="'Table S2'!F6" display="'Table S2'!F6"/>
    <hyperlink ref="D6" location="'Table S2'!F7" display="'Table S2'!F7"/>
    <hyperlink ref="C7" location="'Table S2'!F8" display="'Table S2'!F8"/>
    <hyperlink ref="D7" location="'Table S2'!F9" display="'Table S2'!F9"/>
    <hyperlink ref="C8" location="'Table S2'!F10" display="'Table S2'!F10"/>
    <hyperlink ref="D8" location="'Table S2'!F11" display="'Table S2'!F11"/>
    <hyperlink ref="C9" location="'Table S2'!F12" display="'Table S2'!F12"/>
    <hyperlink ref="D9" location="'Table S2'!F13" display="'Table S2'!F13"/>
    <hyperlink ref="C10" location="'Table S2'!F14" display="'Table S2'!F14"/>
    <hyperlink ref="D10" location="'Table S2'!F14" display="'Table S2'!F14"/>
    <hyperlink ref="C11" location="'Table S2'!F15" display="'Table S2'!F15"/>
    <hyperlink ref="D11" location="'Table S2'!F15" display="'Table S2'!F15"/>
    <hyperlink ref="C12" location="'Table S2'!F14" display="'Table S2'!F14"/>
    <hyperlink ref="D12" location="'Table S2'!F14" display="'Table S2'!F14"/>
    <hyperlink ref="C13" location="'Table S2'!F15" display="'Table S2'!F15"/>
    <hyperlink ref="D13" location="'Table S2'!F15" display="'Table S2'!F15"/>
    <hyperlink ref="C14" location="'Table S2'!F16" display="'Table S2'!F16"/>
    <hyperlink ref="D14" location="'Table S2'!F9" display="'Table S2'!F9"/>
    <hyperlink ref="C15" location="'Table S2'!F17" display="'Table S2'!F17"/>
    <hyperlink ref="D15" location="'Table S2'!F18" display="'Table S2'!F18"/>
    <hyperlink ref="C16" location="'Table S2'!F19" display="'Table S2'!F19"/>
    <hyperlink ref="D16" location="'Table S2'!F20" display="'Table S2'!F20"/>
    <hyperlink ref="C18" location="'Table S2'!F21" display="'Table S2'!F21"/>
    <hyperlink ref="D18" location="'Table S2'!F21" display="'Table S2'!F21"/>
    <hyperlink ref="C19" location="'Table S2'!F19" display="'Table S2'!F19"/>
    <hyperlink ref="D19" location="'Table S2'!F20" display="'Table S2'!F20"/>
    <hyperlink ref="C21" location="'Table S2'!F21" display="'Table S2'!F21"/>
    <hyperlink ref="D21" location="'Table S2'!F21" display="'Table S2'!F21"/>
    <hyperlink ref="C22" location="'Table S2'!F22" display="'Table S2'!F22"/>
    <hyperlink ref="D22" location="'Table S2'!F22" display="'Table S2'!F22"/>
    <hyperlink ref="C23" location="'Table S2'!F23" display="'Table S2'!F23"/>
    <hyperlink ref="D23" location="'Table S2'!F23" display="'Table S2'!F23"/>
    <hyperlink ref="C24" location="'Table S2'!F24" display="'Table S2'!F24"/>
    <hyperlink ref="D24" location="'Table S2'!F25" display="'Table S2'!F25"/>
    <hyperlink ref="C25" location="'Table S2'!F26" display="'Table S2'!F26"/>
    <hyperlink ref="D25" location="'Table S2'!F26" display="'Table S2'!F26"/>
    <hyperlink ref="C26" location="'Table S2'!F26" display="'Table S2'!F26"/>
    <hyperlink ref="D26" location="'Table S2'!F26" display="'Table S2'!F26"/>
    <hyperlink ref="C27:C29" location="'Table S2'!F27" display="'Table S2'!F27"/>
    <hyperlink ref="D27:D29" location="'Table S2'!F28" display="'Table S2'!F28"/>
    <hyperlink ref="C30" location="'Table S2'!F29" display="'Table S2'!F29"/>
    <hyperlink ref="C31" location="'Table S2'!F29" display="'Table S2'!F29"/>
    <hyperlink ref="C32" location="'Table S2'!F30" display="'Table S2'!F30"/>
    <hyperlink ref="D32" location="'Table S2'!F30" display="'Table S2'!F30"/>
    <hyperlink ref="C33" location="'Table S2'!F30" display="'Table S2'!F30"/>
    <hyperlink ref="D33" location="'Table S2'!F30" display="'Table S2'!F30"/>
    <hyperlink ref="C17" location="'Table S2'!F21" display="'Table S2'!F21"/>
    <hyperlink ref="D17" location="'Table S2'!F21" display="'Table S2'!F21"/>
    <hyperlink ref="C20" location="'Table S2'!F21" display="'Table S2'!F21"/>
    <hyperlink ref="D20" location="'Table S2'!F21" display="'Table S2'!F21"/>
  </hyperlink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C23" sqref="C23"/>
    </sheetView>
  </sheetViews>
  <sheetFormatPr defaultRowHeight="15" x14ac:dyDescent="0.25"/>
  <cols>
    <col min="2" max="2" width="11.42578125" bestFit="1" customWidth="1"/>
    <col min="3" max="3" width="11" bestFit="1" customWidth="1"/>
    <col min="9" max="9" width="8.85546875" bestFit="1" customWidth="1"/>
    <col min="10" max="10" width="22.140625" customWidth="1"/>
    <col min="11" max="11" width="128.140625" customWidth="1"/>
  </cols>
  <sheetData>
    <row r="1" spans="1:11" ht="33" x14ac:dyDescent="0.25">
      <c r="A1" s="133" t="s">
        <v>646</v>
      </c>
      <c r="B1" s="132" t="s">
        <v>616</v>
      </c>
      <c r="C1" s="132" t="s">
        <v>617</v>
      </c>
      <c r="D1" s="132"/>
      <c r="E1" s="132"/>
      <c r="F1" s="132"/>
      <c r="G1" s="132"/>
      <c r="H1" s="132"/>
      <c r="I1" s="132"/>
      <c r="J1" s="108"/>
      <c r="K1" s="123" t="s">
        <v>683</v>
      </c>
    </row>
    <row r="2" spans="1:11" ht="33.75" thickBot="1" x14ac:dyDescent="0.3">
      <c r="A2" s="134"/>
      <c r="B2" s="135"/>
      <c r="C2" s="112" t="s">
        <v>682</v>
      </c>
      <c r="D2" s="117" t="s">
        <v>684</v>
      </c>
      <c r="E2" s="117" t="s">
        <v>685</v>
      </c>
      <c r="F2" s="117" t="s">
        <v>686</v>
      </c>
      <c r="G2" s="117" t="s">
        <v>687</v>
      </c>
      <c r="H2" s="117" t="s">
        <v>695</v>
      </c>
      <c r="I2" s="117" t="s">
        <v>711</v>
      </c>
      <c r="J2" s="120"/>
      <c r="K2" s="118" t="s">
        <v>688</v>
      </c>
    </row>
    <row r="3" spans="1:11" ht="33" x14ac:dyDescent="0.25">
      <c r="A3" s="108">
        <v>16</v>
      </c>
      <c r="B3" s="108" t="s">
        <v>14</v>
      </c>
      <c r="C3" s="110">
        <v>1</v>
      </c>
      <c r="D3" s="100" t="s">
        <v>12</v>
      </c>
      <c r="E3" s="100" t="s">
        <v>12</v>
      </c>
      <c r="F3" s="100" t="s">
        <v>12</v>
      </c>
      <c r="G3" s="100" t="s">
        <v>12</v>
      </c>
      <c r="H3" s="100" t="s">
        <v>12</v>
      </c>
      <c r="I3" s="100" t="s">
        <v>12</v>
      </c>
      <c r="J3" s="100"/>
      <c r="K3" s="105" t="s">
        <v>689</v>
      </c>
    </row>
    <row r="4" spans="1:11" ht="18" x14ac:dyDescent="0.25">
      <c r="A4" s="132">
        <v>17</v>
      </c>
      <c r="B4" s="108" t="s">
        <v>38</v>
      </c>
      <c r="C4" s="119">
        <v>2</v>
      </c>
      <c r="D4" s="100" t="s">
        <v>12</v>
      </c>
      <c r="E4" s="100" t="s">
        <v>12</v>
      </c>
      <c r="F4" s="100" t="s">
        <v>12</v>
      </c>
      <c r="G4" s="100" t="s">
        <v>12</v>
      </c>
      <c r="H4" s="100" t="s">
        <v>12</v>
      </c>
      <c r="I4" s="100" t="s">
        <v>12</v>
      </c>
      <c r="J4" s="100"/>
      <c r="K4" s="121" t="s">
        <v>690</v>
      </c>
    </row>
    <row r="5" spans="1:11" ht="30" x14ac:dyDescent="0.25">
      <c r="A5" s="132"/>
      <c r="B5" s="108" t="s">
        <v>6</v>
      </c>
      <c r="C5" s="100" t="s">
        <v>12</v>
      </c>
      <c r="D5" s="100" t="s">
        <v>12</v>
      </c>
      <c r="E5" s="100" t="s">
        <v>12</v>
      </c>
      <c r="F5" s="100" t="s">
        <v>12</v>
      </c>
      <c r="G5" s="100" t="s">
        <v>12</v>
      </c>
      <c r="H5" s="100" t="s">
        <v>12</v>
      </c>
      <c r="I5" s="100" t="s">
        <v>12</v>
      </c>
      <c r="J5" s="100"/>
      <c r="K5" s="79" t="s">
        <v>691</v>
      </c>
    </row>
    <row r="6" spans="1:11" ht="30" x14ac:dyDescent="0.25">
      <c r="A6" s="108">
        <v>18</v>
      </c>
      <c r="B6" s="108" t="s">
        <v>649</v>
      </c>
      <c r="C6" s="119">
        <v>3</v>
      </c>
      <c r="D6" s="119">
        <v>4</v>
      </c>
      <c r="E6" s="119">
        <v>5</v>
      </c>
      <c r="F6" s="100" t="s">
        <v>12</v>
      </c>
      <c r="G6" s="100" t="s">
        <v>12</v>
      </c>
      <c r="H6" s="100" t="s">
        <v>12</v>
      </c>
      <c r="I6" s="100" t="s">
        <v>12</v>
      </c>
      <c r="K6" s="79" t="s">
        <v>692</v>
      </c>
    </row>
    <row r="7" spans="1:11" ht="45" x14ac:dyDescent="0.25">
      <c r="A7" s="108">
        <v>28</v>
      </c>
      <c r="B7" s="108" t="s">
        <v>77</v>
      </c>
      <c r="C7" s="100" t="s">
        <v>12</v>
      </c>
      <c r="D7" s="100" t="s">
        <v>12</v>
      </c>
      <c r="E7" s="100" t="s">
        <v>12</v>
      </c>
      <c r="F7" s="100" t="s">
        <v>12</v>
      </c>
      <c r="G7" s="100" t="s">
        <v>12</v>
      </c>
      <c r="H7" s="100" t="s">
        <v>12</v>
      </c>
      <c r="I7" s="100" t="s">
        <v>12</v>
      </c>
      <c r="K7" s="79" t="s">
        <v>693</v>
      </c>
    </row>
    <row r="8" spans="1:11" ht="18.75" x14ac:dyDescent="0.25">
      <c r="A8" s="108">
        <v>30</v>
      </c>
      <c r="B8" s="108" t="s">
        <v>43</v>
      </c>
      <c r="C8" s="119">
        <v>6</v>
      </c>
      <c r="D8" s="119">
        <v>6</v>
      </c>
      <c r="E8" s="100" t="s">
        <v>12</v>
      </c>
      <c r="F8" s="100" t="s">
        <v>12</v>
      </c>
      <c r="G8" s="100" t="s">
        <v>12</v>
      </c>
      <c r="H8" s="100" t="s">
        <v>12</v>
      </c>
      <c r="I8" s="100" t="s">
        <v>12</v>
      </c>
      <c r="K8" s="79" t="s">
        <v>694</v>
      </c>
    </row>
    <row r="9" spans="1:11" ht="18" x14ac:dyDescent="0.25">
      <c r="A9" s="108">
        <v>32</v>
      </c>
      <c r="B9" s="108" t="s">
        <v>23</v>
      </c>
      <c r="C9" s="119">
        <v>7</v>
      </c>
      <c r="D9" s="119">
        <v>8</v>
      </c>
      <c r="E9" s="100" t="s">
        <v>12</v>
      </c>
      <c r="F9" s="100" t="s">
        <v>12</v>
      </c>
      <c r="G9" s="100" t="s">
        <v>12</v>
      </c>
      <c r="H9" s="100" t="s">
        <v>12</v>
      </c>
      <c r="I9" s="100" t="s">
        <v>12</v>
      </c>
      <c r="K9" s="104" t="s">
        <v>696</v>
      </c>
    </row>
    <row r="10" spans="1:11" ht="30" x14ac:dyDescent="0.25">
      <c r="A10" s="108">
        <v>35</v>
      </c>
      <c r="B10" s="111" t="s">
        <v>650</v>
      </c>
      <c r="C10" s="100" t="s">
        <v>12</v>
      </c>
      <c r="D10" s="100" t="s">
        <v>12</v>
      </c>
      <c r="E10" s="100" t="s">
        <v>12</v>
      </c>
      <c r="F10" s="100" t="s">
        <v>12</v>
      </c>
      <c r="G10" s="100" t="s">
        <v>12</v>
      </c>
      <c r="H10" s="100" t="s">
        <v>12</v>
      </c>
      <c r="I10" s="100" t="s">
        <v>12</v>
      </c>
      <c r="K10" s="79" t="s">
        <v>697</v>
      </c>
    </row>
    <row r="11" spans="1:11" ht="45" x14ac:dyDescent="0.25">
      <c r="A11" s="108">
        <v>36</v>
      </c>
      <c r="B11" s="108" t="s">
        <v>651</v>
      </c>
      <c r="C11" s="122">
        <v>9</v>
      </c>
      <c r="D11" s="100" t="s">
        <v>12</v>
      </c>
      <c r="E11" s="100" t="s">
        <v>12</v>
      </c>
      <c r="F11" s="100" t="s">
        <v>12</v>
      </c>
      <c r="G11" s="100" t="s">
        <v>12</v>
      </c>
      <c r="H11" s="122">
        <v>10</v>
      </c>
      <c r="I11" s="100" t="s">
        <v>12</v>
      </c>
      <c r="K11" s="79" t="s">
        <v>698</v>
      </c>
    </row>
    <row r="12" spans="1:11" ht="30" x14ac:dyDescent="0.25">
      <c r="A12" s="108">
        <v>37</v>
      </c>
      <c r="B12" s="111" t="s">
        <v>652</v>
      </c>
      <c r="C12" s="100" t="s">
        <v>12</v>
      </c>
      <c r="D12" s="100" t="s">
        <v>12</v>
      </c>
      <c r="E12" s="100" t="s">
        <v>12</v>
      </c>
      <c r="F12" s="100" t="s">
        <v>12</v>
      </c>
      <c r="G12" s="100" t="s">
        <v>12</v>
      </c>
      <c r="H12" s="100" t="s">
        <v>12</v>
      </c>
      <c r="I12" s="100" t="s">
        <v>12</v>
      </c>
      <c r="K12" s="103" t="s">
        <v>702</v>
      </c>
    </row>
    <row r="13" spans="1:11" ht="30" x14ac:dyDescent="0.25">
      <c r="A13" s="108">
        <v>38</v>
      </c>
      <c r="B13" s="108" t="s">
        <v>653</v>
      </c>
      <c r="C13" s="122">
        <v>9</v>
      </c>
      <c r="D13" s="100" t="s">
        <v>12</v>
      </c>
      <c r="E13" s="100" t="s">
        <v>12</v>
      </c>
      <c r="F13" s="100" t="s">
        <v>12</v>
      </c>
      <c r="G13" s="100" t="s">
        <v>12</v>
      </c>
      <c r="H13" s="122">
        <v>10</v>
      </c>
      <c r="I13" s="100" t="s">
        <v>12</v>
      </c>
      <c r="K13" s="79" t="s">
        <v>703</v>
      </c>
    </row>
    <row r="14" spans="1:11" ht="30" x14ac:dyDescent="0.25">
      <c r="A14" s="108">
        <v>44</v>
      </c>
      <c r="B14" s="108" t="s">
        <v>654</v>
      </c>
      <c r="C14" s="122">
        <v>11</v>
      </c>
      <c r="D14" s="122">
        <v>12</v>
      </c>
      <c r="E14" s="102" t="s">
        <v>12</v>
      </c>
      <c r="F14" s="122">
        <v>13</v>
      </c>
      <c r="G14" s="102" t="s">
        <v>12</v>
      </c>
      <c r="H14" s="102" t="s">
        <v>12</v>
      </c>
      <c r="I14" s="102" t="s">
        <v>12</v>
      </c>
      <c r="K14" s="79" t="s">
        <v>704</v>
      </c>
    </row>
    <row r="15" spans="1:11" ht="36.75" x14ac:dyDescent="0.35">
      <c r="A15" s="108">
        <v>46</v>
      </c>
      <c r="B15" s="108" t="s">
        <v>44</v>
      </c>
      <c r="C15" s="122">
        <v>14</v>
      </c>
      <c r="D15" s="122">
        <v>12</v>
      </c>
      <c r="E15" s="102" t="s">
        <v>12</v>
      </c>
      <c r="F15" s="122">
        <v>12</v>
      </c>
      <c r="G15" s="102" t="s">
        <v>12</v>
      </c>
      <c r="H15" s="102" t="s">
        <v>12</v>
      </c>
      <c r="I15" s="102" t="s">
        <v>12</v>
      </c>
      <c r="K15" s="101" t="s">
        <v>705</v>
      </c>
    </row>
    <row r="16" spans="1:11" ht="30" x14ac:dyDescent="0.25">
      <c r="A16" s="132">
        <v>51</v>
      </c>
      <c r="B16" s="111" t="s">
        <v>655</v>
      </c>
      <c r="C16" s="122">
        <v>15</v>
      </c>
      <c r="D16" s="102" t="s">
        <v>12</v>
      </c>
      <c r="E16" s="102" t="s">
        <v>12</v>
      </c>
      <c r="F16" s="102" t="s">
        <v>12</v>
      </c>
      <c r="G16" s="102" t="s">
        <v>12</v>
      </c>
      <c r="H16" s="102" t="s">
        <v>12</v>
      </c>
      <c r="I16" s="102" t="s">
        <v>12</v>
      </c>
      <c r="K16" s="79" t="s">
        <v>706</v>
      </c>
    </row>
    <row r="17" spans="1:11" ht="45" x14ac:dyDescent="0.25">
      <c r="A17" s="132"/>
      <c r="B17" s="127" t="s">
        <v>715</v>
      </c>
      <c r="C17" s="128" t="s">
        <v>12</v>
      </c>
      <c r="D17" s="128" t="s">
        <v>12</v>
      </c>
      <c r="E17" s="128" t="s">
        <v>12</v>
      </c>
      <c r="F17" s="128" t="s">
        <v>12</v>
      </c>
      <c r="G17" s="128" t="s">
        <v>12</v>
      </c>
      <c r="H17" s="128" t="s">
        <v>12</v>
      </c>
      <c r="I17" s="128" t="s">
        <v>12</v>
      </c>
      <c r="K17" s="79" t="s">
        <v>707</v>
      </c>
    </row>
    <row r="18" spans="1:11" ht="33" x14ac:dyDescent="0.25">
      <c r="A18" s="132">
        <v>52</v>
      </c>
      <c r="B18" s="108" t="s">
        <v>656</v>
      </c>
      <c r="C18" s="122">
        <v>16</v>
      </c>
      <c r="D18" s="102" t="s">
        <v>12</v>
      </c>
      <c r="E18" s="102" t="s">
        <v>12</v>
      </c>
      <c r="F18" s="102" t="s">
        <v>12</v>
      </c>
      <c r="G18" s="102" t="s">
        <v>12</v>
      </c>
      <c r="H18" s="102" t="s">
        <v>12</v>
      </c>
      <c r="I18" s="102" t="s">
        <v>12</v>
      </c>
      <c r="K18" s="79" t="s">
        <v>709</v>
      </c>
    </row>
    <row r="19" spans="1:11" ht="18" customHeight="1" x14ac:dyDescent="0.25">
      <c r="A19" s="132"/>
      <c r="B19" s="127" t="s">
        <v>716</v>
      </c>
      <c r="C19" s="128" t="s">
        <v>12</v>
      </c>
      <c r="D19" s="128" t="s">
        <v>12</v>
      </c>
      <c r="E19" s="128" t="s">
        <v>12</v>
      </c>
      <c r="F19" s="128" t="s">
        <v>12</v>
      </c>
      <c r="G19" s="128" t="s">
        <v>12</v>
      </c>
      <c r="H19" s="128" t="s">
        <v>12</v>
      </c>
      <c r="I19" s="128" t="s">
        <v>12</v>
      </c>
      <c r="K19" s="101" t="s">
        <v>710</v>
      </c>
    </row>
    <row r="20" spans="1:11" ht="18" x14ac:dyDescent="0.25">
      <c r="A20" s="108">
        <v>53</v>
      </c>
      <c r="B20" s="111" t="s">
        <v>657</v>
      </c>
      <c r="C20" s="122">
        <v>15</v>
      </c>
      <c r="D20" s="102" t="s">
        <v>12</v>
      </c>
      <c r="E20" s="102" t="s">
        <v>12</v>
      </c>
      <c r="F20" s="102" t="s">
        <v>12</v>
      </c>
      <c r="G20" s="102" t="s">
        <v>12</v>
      </c>
      <c r="H20" s="102" t="s">
        <v>12</v>
      </c>
      <c r="I20" s="102" t="s">
        <v>12</v>
      </c>
      <c r="K20" s="79" t="s">
        <v>712</v>
      </c>
    </row>
    <row r="21" spans="1:11" ht="18" x14ac:dyDescent="0.25">
      <c r="A21" s="108">
        <v>54</v>
      </c>
      <c r="B21" s="108" t="s">
        <v>658</v>
      </c>
      <c r="C21" s="122">
        <v>16</v>
      </c>
      <c r="D21" s="102" t="s">
        <v>12</v>
      </c>
      <c r="E21" s="102" t="s">
        <v>12</v>
      </c>
      <c r="F21" s="102" t="s">
        <v>12</v>
      </c>
      <c r="G21" s="102" t="s">
        <v>12</v>
      </c>
      <c r="H21" s="102" t="s">
        <v>12</v>
      </c>
      <c r="I21" s="102" t="s">
        <v>12</v>
      </c>
      <c r="K21" s="79" t="s">
        <v>713</v>
      </c>
    </row>
    <row r="22" spans="1:11" ht="18" x14ac:dyDescent="0.25">
      <c r="A22" s="132">
        <v>62</v>
      </c>
      <c r="B22" s="108" t="s">
        <v>41</v>
      </c>
      <c r="C22" s="124">
        <v>17</v>
      </c>
      <c r="D22" s="102" t="s">
        <v>12</v>
      </c>
      <c r="E22" s="102" t="s">
        <v>12</v>
      </c>
      <c r="F22" s="102" t="s">
        <v>12</v>
      </c>
      <c r="G22" s="125" t="s">
        <v>12</v>
      </c>
      <c r="H22" s="102" t="s">
        <v>12</v>
      </c>
      <c r="I22" s="102" t="s">
        <v>12</v>
      </c>
    </row>
    <row r="23" spans="1:11" ht="33" x14ac:dyDescent="0.25">
      <c r="A23" s="132"/>
      <c r="B23" s="108" t="s">
        <v>708</v>
      </c>
      <c r="C23" s="102" t="s">
        <v>12</v>
      </c>
      <c r="D23" s="102" t="s">
        <v>12</v>
      </c>
      <c r="E23" s="102" t="s">
        <v>12</v>
      </c>
      <c r="F23" s="102" t="s">
        <v>12</v>
      </c>
      <c r="G23" s="102" t="s">
        <v>12</v>
      </c>
      <c r="H23" s="102" t="s">
        <v>12</v>
      </c>
      <c r="I23" s="102" t="s">
        <v>12</v>
      </c>
    </row>
    <row r="24" spans="1:11" ht="18" x14ac:dyDescent="0.25">
      <c r="A24" s="108">
        <v>63</v>
      </c>
      <c r="B24" s="108" t="s">
        <v>42</v>
      </c>
      <c r="C24" s="122">
        <v>17</v>
      </c>
      <c r="D24" s="102" t="s">
        <v>12</v>
      </c>
      <c r="E24" s="122">
        <v>18</v>
      </c>
      <c r="F24" s="122">
        <v>18</v>
      </c>
      <c r="G24" s="122">
        <v>18</v>
      </c>
      <c r="H24" s="102" t="s">
        <v>12</v>
      </c>
      <c r="I24" s="102" t="s">
        <v>12</v>
      </c>
    </row>
    <row r="25" spans="1:11" ht="18.75" x14ac:dyDescent="0.25">
      <c r="A25" s="108">
        <v>67</v>
      </c>
      <c r="B25" s="111" t="s">
        <v>660</v>
      </c>
      <c r="C25" s="136">
        <v>19</v>
      </c>
      <c r="D25" s="102" t="s">
        <v>12</v>
      </c>
      <c r="E25" s="102" t="s">
        <v>12</v>
      </c>
      <c r="F25" s="102" t="s">
        <v>12</v>
      </c>
      <c r="G25" s="102" t="s">
        <v>12</v>
      </c>
      <c r="H25" s="102" t="s">
        <v>12</v>
      </c>
      <c r="I25" s="136">
        <v>19</v>
      </c>
    </row>
    <row r="26" spans="1:11" ht="18.75" x14ac:dyDescent="0.25">
      <c r="A26" s="108">
        <v>69</v>
      </c>
      <c r="B26" s="111" t="s">
        <v>661</v>
      </c>
      <c r="C26" s="136"/>
      <c r="D26" s="102" t="s">
        <v>12</v>
      </c>
      <c r="E26" s="102" t="s">
        <v>12</v>
      </c>
      <c r="F26" s="102" t="s">
        <v>12</v>
      </c>
      <c r="G26" s="102" t="s">
        <v>12</v>
      </c>
      <c r="H26" s="102" t="s">
        <v>12</v>
      </c>
      <c r="I26" s="136"/>
    </row>
    <row r="27" spans="1:11" ht="18.75" x14ac:dyDescent="0.25">
      <c r="A27" s="108">
        <v>70</v>
      </c>
      <c r="B27" s="111" t="s">
        <v>662</v>
      </c>
      <c r="C27" s="131">
        <v>20</v>
      </c>
      <c r="D27" s="137" t="s">
        <v>12</v>
      </c>
      <c r="E27" s="137" t="s">
        <v>12</v>
      </c>
      <c r="F27" s="137" t="s">
        <v>12</v>
      </c>
      <c r="G27" s="137" t="s">
        <v>12</v>
      </c>
      <c r="H27" s="131">
        <v>21</v>
      </c>
      <c r="I27" s="137" t="s">
        <v>12</v>
      </c>
    </row>
    <row r="28" spans="1:11" ht="17.25" x14ac:dyDescent="0.25">
      <c r="A28" s="108">
        <v>72</v>
      </c>
      <c r="B28" s="111" t="s">
        <v>663</v>
      </c>
      <c r="C28" s="131"/>
      <c r="D28" s="137"/>
      <c r="E28" s="137"/>
      <c r="F28" s="137"/>
      <c r="G28" s="137"/>
      <c r="H28" s="131"/>
      <c r="I28" s="137"/>
    </row>
    <row r="29" spans="1:11" ht="18.75" x14ac:dyDescent="0.25">
      <c r="A29" s="108">
        <v>74</v>
      </c>
      <c r="B29" s="111" t="s">
        <v>664</v>
      </c>
      <c r="C29" s="131"/>
      <c r="D29" s="137"/>
      <c r="E29" s="137"/>
      <c r="F29" s="137"/>
      <c r="G29" s="137"/>
      <c r="H29" s="131"/>
      <c r="I29" s="137"/>
    </row>
    <row r="30" spans="1:11" ht="18.75" x14ac:dyDescent="0.25">
      <c r="A30" s="116">
        <v>83</v>
      </c>
      <c r="B30" s="111" t="s">
        <v>677</v>
      </c>
      <c r="C30" s="102" t="s">
        <v>12</v>
      </c>
      <c r="D30" s="102" t="s">
        <v>12</v>
      </c>
      <c r="E30" s="102" t="s">
        <v>12</v>
      </c>
      <c r="F30" s="102" t="s">
        <v>12</v>
      </c>
      <c r="G30" s="102" t="s">
        <v>12</v>
      </c>
      <c r="H30" s="102" t="s">
        <v>12</v>
      </c>
      <c r="I30" s="102" t="s">
        <v>12</v>
      </c>
    </row>
    <row r="31" spans="1:11" ht="18.75" x14ac:dyDescent="0.25">
      <c r="A31" s="116">
        <v>85</v>
      </c>
      <c r="B31" s="111" t="s">
        <v>678</v>
      </c>
      <c r="C31" s="102" t="s">
        <v>12</v>
      </c>
      <c r="D31" s="102" t="s">
        <v>12</v>
      </c>
      <c r="E31" s="102" t="s">
        <v>12</v>
      </c>
      <c r="F31" s="102" t="s">
        <v>12</v>
      </c>
      <c r="G31" s="102" t="s">
        <v>12</v>
      </c>
      <c r="H31" s="102" t="s">
        <v>12</v>
      </c>
      <c r="I31" s="102" t="s">
        <v>12</v>
      </c>
    </row>
    <row r="32" spans="1:11" ht="18.75" x14ac:dyDescent="0.25">
      <c r="A32" s="116">
        <v>100</v>
      </c>
      <c r="B32" s="111" t="s">
        <v>679</v>
      </c>
      <c r="C32" s="102" t="s">
        <v>12</v>
      </c>
      <c r="D32" s="102" t="s">
        <v>12</v>
      </c>
      <c r="E32" s="102" t="s">
        <v>12</v>
      </c>
      <c r="F32" s="102" t="s">
        <v>12</v>
      </c>
      <c r="G32" s="102" t="s">
        <v>12</v>
      </c>
      <c r="H32" s="102" t="s">
        <v>12</v>
      </c>
      <c r="I32" s="102" t="s">
        <v>12</v>
      </c>
    </row>
    <row r="33" spans="1:9" ht="18.75" x14ac:dyDescent="0.25">
      <c r="A33" s="116">
        <v>102</v>
      </c>
      <c r="B33" s="111" t="s">
        <v>680</v>
      </c>
      <c r="C33" s="102" t="s">
        <v>12</v>
      </c>
      <c r="D33" s="102" t="s">
        <v>12</v>
      </c>
      <c r="E33" s="102" t="s">
        <v>12</v>
      </c>
      <c r="F33" s="102" t="s">
        <v>12</v>
      </c>
      <c r="G33" s="102" t="s">
        <v>12</v>
      </c>
      <c r="H33" s="102" t="s">
        <v>12</v>
      </c>
      <c r="I33" s="102" t="s">
        <v>12</v>
      </c>
    </row>
  </sheetData>
  <mergeCells count="16">
    <mergeCell ref="A1:A2"/>
    <mergeCell ref="B1:B2"/>
    <mergeCell ref="A4:A5"/>
    <mergeCell ref="A22:A23"/>
    <mergeCell ref="C27:C29"/>
    <mergeCell ref="C1:I1"/>
    <mergeCell ref="C25:C26"/>
    <mergeCell ref="I25:I26"/>
    <mergeCell ref="H27:H29"/>
    <mergeCell ref="D27:D29"/>
    <mergeCell ref="E27:E29"/>
    <mergeCell ref="F27:F29"/>
    <mergeCell ref="G27:G29"/>
    <mergeCell ref="I27:I29"/>
    <mergeCell ref="A16:A17"/>
    <mergeCell ref="A18:A19"/>
  </mergeCells>
  <hyperlinks>
    <hyperlink ref="C3" location="'Table S3'!K1" display="'Table S3'!K1"/>
    <hyperlink ref="C4" location="'Table S3'!K2" display="'Table S3'!K2"/>
    <hyperlink ref="C6" location="'Table S3'!K3" display="'Table S3'!K3"/>
    <hyperlink ref="D6" location="'Table S3'!K4" display="'Table S3'!K4"/>
    <hyperlink ref="E6" location="'Table S3'!K5" display="'Table S3'!K5"/>
    <hyperlink ref="C8" location="'Table S3'!K6" display="'Table S3'!K6"/>
    <hyperlink ref="D8" location="'Table S3'!K6" display="'Table S3'!K6"/>
    <hyperlink ref="C9" location="'Table S3'!K7" display="'Table S3'!K7"/>
    <hyperlink ref="D9" location="'Table S3'!K8" display="'Table S3'!K8"/>
    <hyperlink ref="H11" location="'Table S3'!K10" display="'Table S3'!K10"/>
    <hyperlink ref="C11" location="'Table S3'!K9" display="'Table S3'!K9"/>
    <hyperlink ref="C13" location="'Table S3'!K9" display="'Table S3'!K9"/>
    <hyperlink ref="H13" location="'Table S3'!K10" display="'Table S3'!K10"/>
    <hyperlink ref="C14" location="'Table S3'!K11" display="'Table S3'!K11"/>
    <hyperlink ref="D14" location="'Table S3'!K12" display="'Table S3'!K12"/>
    <hyperlink ref="F14" location="'Table S3'!K13" display="'Table S3'!K13"/>
    <hyperlink ref="C15" location="'Table S3'!K14" display="'Table S3'!K14"/>
    <hyperlink ref="D15" location="'Table S3'!K12" display="'Table S3'!K12"/>
    <hyperlink ref="F15" location="'Table S3'!K12" display="'Table S3'!K12"/>
    <hyperlink ref="C16" location="'Table S3'!K15" display="'Table S3'!K15"/>
    <hyperlink ref="C20" location="'Table S3'!K15" display="'Table S3'!K15"/>
    <hyperlink ref="C18" location="'Table S3'!K16" display="'Table S3'!K16"/>
    <hyperlink ref="C21" location="'Table S3'!K16" display="'Table S3'!K16"/>
    <hyperlink ref="C22" location="'Table S3'!K17" display="'Table S3'!K17"/>
    <hyperlink ref="C24" location="'Table S3'!K17" display="'Table S3'!K17"/>
    <hyperlink ref="E24" location="'Table S3'!K18" display="'Table S3'!K18"/>
    <hyperlink ref="F24" location="'Table S3'!K18" display="'Table S3'!K18"/>
    <hyperlink ref="G24" location="'Table S3'!K18" display="'Table S3'!K18"/>
    <hyperlink ref="C25" location="'Table S3'!K19" display="'Table S3'!K19"/>
    <hyperlink ref="I25" location="'Table S3'!K19" display="'Table S3'!K19"/>
    <hyperlink ref="C27:C29" location="'Table S3'!K20" display="'Table S3'!K20"/>
    <hyperlink ref="H27:H29" location="'Table S3'!K21" display="'Table S3'!K21"/>
  </hyperlink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6"/>
  <sheetViews>
    <sheetView zoomScaleNormal="100" workbookViewId="0">
      <selection activeCell="A3" sqref="A3"/>
    </sheetView>
  </sheetViews>
  <sheetFormatPr defaultRowHeight="15" x14ac:dyDescent="0.25"/>
  <cols>
    <col min="1" max="1" width="4" style="8" bestFit="1" customWidth="1"/>
    <col min="2" max="2" width="8.42578125" bestFit="1" customWidth="1"/>
    <col min="3" max="3" width="2.140625" style="1" bestFit="1" customWidth="1"/>
    <col min="4" max="4" width="15" style="1" bestFit="1" customWidth="1"/>
    <col min="5" max="5" width="2.7109375" bestFit="1" customWidth="1"/>
    <col min="6" max="6" width="13.28515625" bestFit="1" customWidth="1"/>
    <col min="7" max="7" width="2" bestFit="1" customWidth="1"/>
    <col min="9" max="10" width="8.28515625" bestFit="1" customWidth="1"/>
    <col min="11" max="11" width="8.5703125" bestFit="1" customWidth="1"/>
    <col min="12" max="12" width="14.5703125" bestFit="1" customWidth="1"/>
    <col min="13" max="13" width="2.140625" style="82" customWidth="1"/>
    <col min="14" max="14" width="3" style="82" bestFit="1" customWidth="1"/>
    <col min="15" max="15" width="155.85546875" style="8" bestFit="1" customWidth="1"/>
    <col min="16" max="16" width="8.28515625" bestFit="1" customWidth="1"/>
    <col min="17" max="17" width="7.7109375" bestFit="1" customWidth="1"/>
    <col min="18" max="18" width="8.28515625" bestFit="1" customWidth="1"/>
    <col min="19" max="19" width="12.5703125" bestFit="1" customWidth="1"/>
    <col min="20" max="20" width="10.140625" style="83" bestFit="1" customWidth="1"/>
    <col min="21" max="21" width="95.140625" style="55" bestFit="1" customWidth="1"/>
    <col min="22" max="22" width="8.5703125" bestFit="1" customWidth="1"/>
    <col min="23" max="23" width="8.28515625" bestFit="1" customWidth="1"/>
    <col min="24" max="24" width="8.5703125" bestFit="1" customWidth="1"/>
    <col min="25" max="25" width="12.5703125" style="1" bestFit="1" customWidth="1"/>
    <col min="26" max="26" width="2" style="82" bestFit="1" customWidth="1"/>
    <col min="27" max="27" width="8.28515625" style="82" customWidth="1"/>
    <col min="28" max="28" width="106.7109375" style="26" bestFit="1" customWidth="1"/>
    <col min="29" max="29" width="58.28515625" style="72" bestFit="1" customWidth="1"/>
    <col min="30" max="30" width="8.28515625" bestFit="1" customWidth="1"/>
    <col min="31" max="31" width="7.7109375" bestFit="1" customWidth="1"/>
    <col min="32" max="32" width="8.28515625" bestFit="1" customWidth="1"/>
    <col min="33" max="33" width="12.5703125" bestFit="1" customWidth="1"/>
    <col min="34" max="34" width="10.140625" style="82" bestFit="1" customWidth="1"/>
    <col min="35" max="35" width="68.140625" style="8" bestFit="1" customWidth="1"/>
  </cols>
  <sheetData>
    <row r="1" spans="1:38" x14ac:dyDescent="0.25">
      <c r="A1" s="21" t="s">
        <v>61</v>
      </c>
      <c r="B1">
        <v>498.15</v>
      </c>
      <c r="C1" s="7" t="s">
        <v>62</v>
      </c>
      <c r="I1" s="163" t="s">
        <v>613</v>
      </c>
      <c r="J1" s="163"/>
      <c r="K1" s="163"/>
      <c r="L1" s="163"/>
      <c r="M1" s="155" t="s">
        <v>612</v>
      </c>
      <c r="N1" s="155"/>
      <c r="O1" s="140" t="s">
        <v>40</v>
      </c>
      <c r="P1" s="160" t="s">
        <v>137</v>
      </c>
      <c r="Q1" s="161"/>
      <c r="R1" s="161"/>
      <c r="S1" s="161"/>
      <c r="T1" s="90"/>
      <c r="U1" s="54"/>
      <c r="V1" s="161" t="s">
        <v>49</v>
      </c>
      <c r="W1" s="161"/>
      <c r="X1" s="161"/>
      <c r="Y1" s="161"/>
      <c r="Z1" s="161"/>
      <c r="AA1" s="161"/>
      <c r="AD1" s="160" t="s">
        <v>137</v>
      </c>
      <c r="AE1" s="161"/>
      <c r="AF1" s="161"/>
      <c r="AG1" s="161"/>
      <c r="AH1" s="95"/>
      <c r="AI1" s="51"/>
      <c r="AL1" s="3"/>
    </row>
    <row r="2" spans="1:38" s="70" customFormat="1" ht="15.75" thickBot="1" x14ac:dyDescent="0.3">
      <c r="A2" s="65" t="s">
        <v>135</v>
      </c>
      <c r="B2" s="166" t="s">
        <v>136</v>
      </c>
      <c r="C2" s="167"/>
      <c r="D2" s="167"/>
      <c r="E2" s="167"/>
      <c r="F2" s="167"/>
      <c r="G2" s="167"/>
      <c r="H2" s="167"/>
      <c r="I2" s="66" t="s">
        <v>8</v>
      </c>
      <c r="J2" s="66" t="s">
        <v>9</v>
      </c>
      <c r="K2" s="67" t="s">
        <v>10</v>
      </c>
      <c r="L2" s="67" t="s">
        <v>134</v>
      </c>
      <c r="M2" s="156"/>
      <c r="N2" s="156"/>
      <c r="O2" s="141"/>
      <c r="P2" s="66" t="s">
        <v>8</v>
      </c>
      <c r="Q2" s="66" t="s">
        <v>9</v>
      </c>
      <c r="R2" s="67" t="s">
        <v>10</v>
      </c>
      <c r="S2" s="67" t="s">
        <v>16</v>
      </c>
      <c r="T2" s="91" t="s">
        <v>34</v>
      </c>
      <c r="U2" s="69" t="s">
        <v>40</v>
      </c>
      <c r="V2" s="66" t="s">
        <v>8</v>
      </c>
      <c r="W2" s="66" t="s">
        <v>9</v>
      </c>
      <c r="X2" s="67" t="s">
        <v>10</v>
      </c>
      <c r="Y2" s="67" t="s">
        <v>16</v>
      </c>
      <c r="Z2" s="158" t="s">
        <v>34</v>
      </c>
      <c r="AA2" s="158"/>
      <c r="AB2" s="158" t="s">
        <v>40</v>
      </c>
      <c r="AC2" s="159"/>
      <c r="AD2" s="66" t="s">
        <v>8</v>
      </c>
      <c r="AE2" s="66" t="s">
        <v>9</v>
      </c>
      <c r="AF2" s="67" t="s">
        <v>10</v>
      </c>
      <c r="AG2" s="67" t="s">
        <v>16</v>
      </c>
      <c r="AH2" s="96" t="s">
        <v>34</v>
      </c>
      <c r="AI2" s="68" t="s">
        <v>40</v>
      </c>
    </row>
    <row r="3" spans="1:38" ht="18" x14ac:dyDescent="0.35">
      <c r="A3" s="8">
        <v>1</v>
      </c>
      <c r="B3" s="1" t="s">
        <v>11</v>
      </c>
      <c r="E3" s="2" t="s">
        <v>0</v>
      </c>
      <c r="F3" s="1" t="s">
        <v>3</v>
      </c>
      <c r="G3" s="1" t="s">
        <v>1</v>
      </c>
      <c r="H3" s="1" t="s">
        <v>6</v>
      </c>
      <c r="I3" s="4">
        <f>2.81E+31*$B$1^-11.2*EXP(-29418/$B$1)</f>
        <v>3.9014730470179892E-25</v>
      </c>
      <c r="J3" s="4">
        <f>5E+51*$B$1^-11.64*EXP(-30700/$B$1)</f>
        <v>3.4433995534962658E-7</v>
      </c>
      <c r="K3" s="4">
        <f>145000000000000000*EXP(-26500/$B$1)</f>
        <v>1.1436128647153073E-6</v>
      </c>
      <c r="L3" s="5" t="s">
        <v>12</v>
      </c>
      <c r="M3" s="81">
        <v>1</v>
      </c>
      <c r="N3" s="81">
        <v>2</v>
      </c>
      <c r="O3" s="76" t="s">
        <v>153</v>
      </c>
      <c r="P3" s="5" t="s">
        <v>12</v>
      </c>
      <c r="Q3" s="5" t="s">
        <v>12</v>
      </c>
      <c r="R3" s="5" t="s">
        <v>12</v>
      </c>
      <c r="S3" s="5" t="s">
        <v>12</v>
      </c>
      <c r="V3" s="5" t="s">
        <v>12</v>
      </c>
      <c r="W3" s="4">
        <f>1.94E+36*$B$1^-15.3*EXP(-5542/$B$1)</f>
        <v>1.5367199294825345E-10</v>
      </c>
      <c r="X3" s="4">
        <f>0.00000000032*$B$1^0.07*EXP(-25/$B$1)</f>
        <v>4.700778857356056E-10</v>
      </c>
      <c r="Y3" s="5" t="s">
        <v>12</v>
      </c>
      <c r="Z3" s="145">
        <v>2</v>
      </c>
      <c r="AA3" s="145"/>
      <c r="AB3" s="15" t="s">
        <v>153</v>
      </c>
      <c r="AD3" s="5" t="s">
        <v>12</v>
      </c>
      <c r="AE3" s="5" t="s">
        <v>12</v>
      </c>
      <c r="AF3" s="5" t="s">
        <v>12</v>
      </c>
      <c r="AG3" s="5" t="s">
        <v>12</v>
      </c>
    </row>
    <row r="4" spans="1:38" ht="18" x14ac:dyDescent="0.35">
      <c r="A4" s="8">
        <v>2</v>
      </c>
      <c r="B4" s="150" t="s">
        <v>11</v>
      </c>
      <c r="C4" s="137" t="s">
        <v>1</v>
      </c>
      <c r="D4" s="137" t="s">
        <v>24</v>
      </c>
      <c r="E4" s="149" t="s">
        <v>0</v>
      </c>
      <c r="F4" s="1" t="s">
        <v>25</v>
      </c>
      <c r="G4" s="1" t="s">
        <v>1</v>
      </c>
      <c r="H4" s="1" t="s">
        <v>30</v>
      </c>
      <c r="I4" s="5" t="s">
        <v>12</v>
      </c>
      <c r="J4" s="5" t="s">
        <v>12</v>
      </c>
      <c r="K4" s="5" t="s">
        <v>12</v>
      </c>
      <c r="L4" s="4">
        <f>0.000000000000000175*$B$1^1.63*EXP(-11156/$B$1)</f>
        <v>8.1991818568114246E-22</v>
      </c>
      <c r="M4" s="139">
        <v>3</v>
      </c>
      <c r="N4" s="139"/>
      <c r="O4" s="138" t="s">
        <v>156</v>
      </c>
      <c r="P4" s="5" t="s">
        <v>12</v>
      </c>
      <c r="Q4" s="5" t="s">
        <v>12</v>
      </c>
      <c r="R4" s="5" t="s">
        <v>12</v>
      </c>
      <c r="S4" s="5" t="s">
        <v>12</v>
      </c>
      <c r="V4" s="5" t="s">
        <v>12</v>
      </c>
      <c r="W4" s="5" t="s">
        <v>12</v>
      </c>
      <c r="X4" s="5" t="s">
        <v>12</v>
      </c>
      <c r="Y4" s="5" t="s">
        <v>12</v>
      </c>
      <c r="AB4" s="45"/>
      <c r="AC4" s="73"/>
      <c r="AD4" s="5" t="s">
        <v>12</v>
      </c>
      <c r="AE4" s="5" t="s">
        <v>12</v>
      </c>
      <c r="AF4" s="5" t="s">
        <v>12</v>
      </c>
      <c r="AG4" s="5" t="s">
        <v>12</v>
      </c>
    </row>
    <row r="5" spans="1:38" ht="18" x14ac:dyDescent="0.35">
      <c r="A5" s="8">
        <v>3</v>
      </c>
      <c r="B5" s="150"/>
      <c r="C5" s="137"/>
      <c r="D5" s="137"/>
      <c r="E5" s="149"/>
      <c r="F5" s="1" t="s">
        <v>20</v>
      </c>
      <c r="G5" s="1" t="s">
        <v>1</v>
      </c>
      <c r="H5" s="1" t="s">
        <v>3</v>
      </c>
      <c r="I5" s="5" t="s">
        <v>12</v>
      </c>
      <c r="J5" s="5" t="s">
        <v>12</v>
      </c>
      <c r="K5" s="5" t="s">
        <v>12</v>
      </c>
      <c r="L5" s="4">
        <f>0.00000000000133*$B$1^0.67*EXP(-9658/$B$1)</f>
        <v>3.2441189509044931E-19</v>
      </c>
      <c r="M5" s="139"/>
      <c r="N5" s="139"/>
      <c r="O5" s="138"/>
      <c r="P5" s="5" t="s">
        <v>12</v>
      </c>
      <c r="Q5" s="5" t="s">
        <v>12</v>
      </c>
      <c r="R5" s="5" t="s">
        <v>12</v>
      </c>
      <c r="S5" s="5" t="s">
        <v>12</v>
      </c>
      <c r="V5" s="5" t="s">
        <v>12</v>
      </c>
      <c r="W5" s="5" t="s">
        <v>12</v>
      </c>
      <c r="X5" s="5" t="s">
        <v>12</v>
      </c>
      <c r="Y5" s="5" t="s">
        <v>12</v>
      </c>
      <c r="AB5" s="45"/>
      <c r="AC5" s="73"/>
      <c r="AD5" s="5" t="s">
        <v>12</v>
      </c>
      <c r="AE5" s="5" t="s">
        <v>12</v>
      </c>
      <c r="AF5" s="5" t="s">
        <v>12</v>
      </c>
      <c r="AG5" s="5" t="s">
        <v>12</v>
      </c>
    </row>
    <row r="6" spans="1:38" ht="18" x14ac:dyDescent="0.35">
      <c r="A6" s="8">
        <v>4</v>
      </c>
      <c r="B6" s="1" t="s">
        <v>11</v>
      </c>
      <c r="C6" s="1" t="s">
        <v>1</v>
      </c>
      <c r="D6" s="1" t="s">
        <v>6</v>
      </c>
      <c r="E6" s="2" t="s">
        <v>0</v>
      </c>
      <c r="F6" s="1" t="s">
        <v>30</v>
      </c>
      <c r="G6" s="1" t="s">
        <v>1</v>
      </c>
      <c r="H6" s="1" t="s">
        <v>32</v>
      </c>
      <c r="I6" s="5" t="s">
        <v>12</v>
      </c>
      <c r="J6" s="5" t="s">
        <v>12</v>
      </c>
      <c r="K6" s="5" t="s">
        <v>12</v>
      </c>
      <c r="L6" s="4">
        <f>0.0000000000000223*($B$1/298)^2.12*EXP(-12260/(8.314*$B$1))</f>
        <v>3.4337884123468419E-15</v>
      </c>
      <c r="M6" s="139"/>
      <c r="N6" s="139"/>
      <c r="O6" s="52" t="s">
        <v>254</v>
      </c>
      <c r="P6" s="4">
        <f>1.27E-19*$B$1^2.12*EXP(-1474/$B$1)</f>
        <v>3.444707660712139E-15</v>
      </c>
      <c r="Q6" s="5" t="s">
        <v>12</v>
      </c>
      <c r="R6" s="5" t="s">
        <v>12</v>
      </c>
      <c r="S6" s="5" t="s">
        <v>12</v>
      </c>
      <c r="T6" s="139">
        <v>3</v>
      </c>
      <c r="U6" s="55" t="s">
        <v>194</v>
      </c>
      <c r="V6" s="5" t="s">
        <v>12</v>
      </c>
      <c r="W6" s="5" t="s">
        <v>12</v>
      </c>
      <c r="X6" s="5" t="s">
        <v>12</v>
      </c>
      <c r="Y6" s="5" t="s">
        <v>12</v>
      </c>
      <c r="AB6" s="45"/>
      <c r="AC6" s="73"/>
      <c r="AD6" s="5" t="s">
        <v>12</v>
      </c>
      <c r="AE6" s="5" t="s">
        <v>12</v>
      </c>
      <c r="AF6" s="5" t="s">
        <v>12</v>
      </c>
      <c r="AG6" s="5" t="s">
        <v>12</v>
      </c>
    </row>
    <row r="7" spans="1:38" ht="18" x14ac:dyDescent="0.35">
      <c r="A7" s="8">
        <v>5</v>
      </c>
      <c r="B7" s="150" t="s">
        <v>11</v>
      </c>
      <c r="C7" s="137" t="s">
        <v>1</v>
      </c>
      <c r="D7" s="137" t="s">
        <v>29</v>
      </c>
      <c r="E7" s="149" t="s">
        <v>0</v>
      </c>
      <c r="F7" s="1" t="s">
        <v>15</v>
      </c>
      <c r="G7" s="1" t="s">
        <v>1</v>
      </c>
      <c r="H7" s="1" t="s">
        <v>6</v>
      </c>
      <c r="I7" s="5" t="s">
        <v>12</v>
      </c>
      <c r="J7" s="5" t="s">
        <v>12</v>
      </c>
      <c r="K7" s="5" t="s">
        <v>12</v>
      </c>
      <c r="L7" s="4">
        <f>0.0000000000043*($B$1/298)^1.96*EXP(-64260/(8.314*$B$1))</f>
        <v>2.150107018205769E-18</v>
      </c>
      <c r="M7" s="139"/>
      <c r="N7" s="139"/>
      <c r="O7" s="148" t="s">
        <v>156</v>
      </c>
      <c r="P7" s="4">
        <f>0.0000000000000000608*$B$1^1.96*EXP(-7729/$B$1)</f>
        <v>2.1501749406472539E-18</v>
      </c>
      <c r="Q7" s="5" t="s">
        <v>12</v>
      </c>
      <c r="R7" s="5" t="s">
        <v>12</v>
      </c>
      <c r="S7" s="5" t="s">
        <v>12</v>
      </c>
      <c r="T7" s="139"/>
      <c r="U7" s="162" t="s">
        <v>174</v>
      </c>
      <c r="V7" s="5" t="s">
        <v>12</v>
      </c>
      <c r="W7" s="5" t="s">
        <v>12</v>
      </c>
      <c r="X7" s="5" t="s">
        <v>12</v>
      </c>
      <c r="Y7" s="5" t="s">
        <v>12</v>
      </c>
      <c r="AB7" s="45"/>
      <c r="AC7" s="73"/>
      <c r="AD7" s="5" t="s">
        <v>12</v>
      </c>
      <c r="AE7" s="5" t="s">
        <v>12</v>
      </c>
      <c r="AF7" s="5" t="s">
        <v>12</v>
      </c>
      <c r="AG7" s="5" t="s">
        <v>12</v>
      </c>
    </row>
    <row r="8" spans="1:38" ht="18" x14ac:dyDescent="0.35">
      <c r="A8" s="8">
        <v>6</v>
      </c>
      <c r="B8" s="150"/>
      <c r="C8" s="137"/>
      <c r="D8" s="137"/>
      <c r="E8" s="149"/>
      <c r="F8" s="1" t="s">
        <v>30</v>
      </c>
      <c r="G8" s="1" t="s">
        <v>1</v>
      </c>
      <c r="H8" s="1" t="s">
        <v>31</v>
      </c>
      <c r="I8" s="5" t="s">
        <v>12</v>
      </c>
      <c r="J8" s="5" t="s">
        <v>12</v>
      </c>
      <c r="K8" s="5" t="s">
        <v>12</v>
      </c>
      <c r="L8" s="4">
        <f>0.000000000000801*($B$1/298)^1.97*EXP(-62230/(8.314*$B$1))</f>
        <v>6.5723924052926758E-19</v>
      </c>
      <c r="M8" s="139"/>
      <c r="N8" s="139"/>
      <c r="O8" s="148"/>
      <c r="P8" s="4">
        <f>0.0000000000000000107*$B$1^1.97*EXP(-7484/$B$1)</f>
        <v>6.5844907505684332E-19</v>
      </c>
      <c r="Q8" s="5" t="s">
        <v>12</v>
      </c>
      <c r="R8" s="5" t="s">
        <v>12</v>
      </c>
      <c r="S8" s="5" t="s">
        <v>12</v>
      </c>
      <c r="T8" s="139"/>
      <c r="U8" s="162"/>
      <c r="V8" s="5" t="s">
        <v>12</v>
      </c>
      <c r="W8" s="5" t="s">
        <v>12</v>
      </c>
      <c r="X8" s="5" t="s">
        <v>12</v>
      </c>
      <c r="Y8" s="5" t="s">
        <v>12</v>
      </c>
      <c r="AB8" s="45"/>
      <c r="AC8" s="73"/>
      <c r="AD8" s="5" t="s">
        <v>12</v>
      </c>
      <c r="AE8" s="5" t="s">
        <v>12</v>
      </c>
      <c r="AF8" s="5" t="s">
        <v>12</v>
      </c>
      <c r="AG8" s="5" t="s">
        <v>12</v>
      </c>
    </row>
    <row r="9" spans="1:38" ht="18" x14ac:dyDescent="0.35">
      <c r="A9" s="8">
        <v>7</v>
      </c>
      <c r="B9" s="1" t="s">
        <v>30</v>
      </c>
      <c r="E9" s="2" t="s">
        <v>0</v>
      </c>
      <c r="F9" s="1" t="s">
        <v>33</v>
      </c>
      <c r="G9" s="1" t="s">
        <v>1</v>
      </c>
      <c r="H9" s="1" t="s">
        <v>14</v>
      </c>
      <c r="I9" s="4">
        <f>1.59E+23*$B$1^-9*EXP(-24266/$B$1)</f>
        <v>5.8843830155611488E-23</v>
      </c>
      <c r="J9" s="5" t="s">
        <v>12</v>
      </c>
      <c r="K9" s="4">
        <f>520000000000000000000*$B$1^-1.3*EXP(-23215/$B$1)</f>
        <v>9.3380762563315285E-4</v>
      </c>
      <c r="L9" s="5" t="s">
        <v>12</v>
      </c>
      <c r="M9" s="139">
        <v>1</v>
      </c>
      <c r="N9" s="139"/>
      <c r="O9" s="52" t="s">
        <v>255</v>
      </c>
      <c r="P9" s="5" t="s">
        <v>12</v>
      </c>
      <c r="Q9" s="5" t="s">
        <v>12</v>
      </c>
      <c r="R9" s="5" t="s">
        <v>12</v>
      </c>
      <c r="S9" s="5" t="s">
        <v>12</v>
      </c>
      <c r="V9" s="5" t="s">
        <v>12</v>
      </c>
      <c r="W9" s="5" t="s">
        <v>12</v>
      </c>
      <c r="X9" s="5" t="s">
        <v>12</v>
      </c>
      <c r="Y9" s="5" t="s">
        <v>12</v>
      </c>
      <c r="AD9" s="5" t="s">
        <v>12</v>
      </c>
      <c r="AE9" s="5" t="s">
        <v>12</v>
      </c>
      <c r="AF9" s="5" t="s">
        <v>12</v>
      </c>
      <c r="AG9" s="5" t="s">
        <v>12</v>
      </c>
    </row>
    <row r="10" spans="1:38" ht="18" x14ac:dyDescent="0.35">
      <c r="A10" s="8">
        <v>8</v>
      </c>
      <c r="B10" s="1" t="s">
        <v>30</v>
      </c>
      <c r="C10" s="1" t="s">
        <v>1</v>
      </c>
      <c r="D10" s="1" t="s">
        <v>20</v>
      </c>
      <c r="E10" s="2" t="s">
        <v>0</v>
      </c>
      <c r="F10" s="1" t="s">
        <v>11</v>
      </c>
      <c r="G10" s="1" t="s">
        <v>1</v>
      </c>
      <c r="H10" s="1" t="s">
        <v>6</v>
      </c>
      <c r="I10" s="5" t="s">
        <v>12</v>
      </c>
      <c r="J10" s="5" t="s">
        <v>12</v>
      </c>
      <c r="K10" s="5" t="s">
        <v>12</v>
      </c>
      <c r="L10" s="4">
        <f>1.35E-18*$B$1^1.73*EXP(1017/$B$1)</f>
        <v>4.8239447947263826E-13</v>
      </c>
      <c r="M10" s="139">
        <v>4</v>
      </c>
      <c r="N10" s="139"/>
      <c r="O10" s="52" t="s">
        <v>157</v>
      </c>
      <c r="P10" s="5" t="s">
        <v>12</v>
      </c>
      <c r="Q10" s="5" t="s">
        <v>12</v>
      </c>
      <c r="R10" s="5" t="s">
        <v>12</v>
      </c>
      <c r="S10" s="5" t="s">
        <v>12</v>
      </c>
      <c r="V10" s="5" t="s">
        <v>12</v>
      </c>
      <c r="W10" s="5" t="s">
        <v>12</v>
      </c>
      <c r="X10" s="5" t="s">
        <v>12</v>
      </c>
      <c r="Y10" s="5" t="s">
        <v>12</v>
      </c>
      <c r="AD10" s="5" t="s">
        <v>12</v>
      </c>
      <c r="AE10" s="5" t="s">
        <v>12</v>
      </c>
      <c r="AF10" s="5" t="s">
        <v>12</v>
      </c>
      <c r="AG10" s="5" t="s">
        <v>12</v>
      </c>
    </row>
    <row r="11" spans="1:38" ht="18" x14ac:dyDescent="0.35">
      <c r="A11" s="8">
        <v>9</v>
      </c>
      <c r="B11" s="1" t="s">
        <v>30</v>
      </c>
      <c r="C11" s="1" t="s">
        <v>1</v>
      </c>
      <c r="D11" s="1" t="s">
        <v>24</v>
      </c>
      <c r="E11" s="2" t="s">
        <v>0</v>
      </c>
      <c r="F11" s="1" t="s">
        <v>3</v>
      </c>
      <c r="G11" s="1" t="s">
        <v>1</v>
      </c>
      <c r="H11" s="1" t="s">
        <v>13</v>
      </c>
      <c r="I11" s="5" t="s">
        <v>12</v>
      </c>
      <c r="J11" s="5" t="s">
        <v>12</v>
      </c>
      <c r="K11" s="5" t="s">
        <v>12</v>
      </c>
      <c r="L11" s="4">
        <f>0.0000000000805*$B$1^0.158*EXP(-49/$B$1)</f>
        <v>1.9465244465023563E-10</v>
      </c>
      <c r="M11" s="139">
        <v>5</v>
      </c>
      <c r="N11" s="139"/>
      <c r="O11" s="9" t="s">
        <v>158</v>
      </c>
      <c r="P11" s="5" t="s">
        <v>12</v>
      </c>
      <c r="Q11" s="5" t="s">
        <v>12</v>
      </c>
      <c r="R11" s="5" t="s">
        <v>12</v>
      </c>
      <c r="S11" s="5" t="s">
        <v>12</v>
      </c>
      <c r="V11" s="5" t="s">
        <v>12</v>
      </c>
      <c r="W11" s="5" t="s">
        <v>12</v>
      </c>
      <c r="X11" s="5" t="s">
        <v>12</v>
      </c>
      <c r="Y11" s="5" t="s">
        <v>12</v>
      </c>
      <c r="AB11" s="15"/>
      <c r="AD11" s="5" t="s">
        <v>12</v>
      </c>
      <c r="AE11" s="5" t="s">
        <v>12</v>
      </c>
      <c r="AF11" s="5" t="s">
        <v>12</v>
      </c>
      <c r="AG11" s="5" t="s">
        <v>12</v>
      </c>
    </row>
    <row r="12" spans="1:38" ht="18" x14ac:dyDescent="0.35">
      <c r="A12" s="8">
        <v>10</v>
      </c>
      <c r="B12" s="1" t="s">
        <v>30</v>
      </c>
      <c r="C12" s="1" t="s">
        <v>1</v>
      </c>
      <c r="D12" s="1" t="s">
        <v>38</v>
      </c>
      <c r="E12" s="2" t="s">
        <v>0</v>
      </c>
      <c r="F12" s="1" t="s">
        <v>11</v>
      </c>
      <c r="G12" s="1" t="s">
        <v>1</v>
      </c>
      <c r="H12" s="1" t="s">
        <v>39</v>
      </c>
      <c r="I12" s="5" t="s">
        <v>12</v>
      </c>
      <c r="J12" s="4">
        <f>0.844*$B$1^-3.02*EXP(-528/$B$1)</f>
        <v>2.0892802068668817E-9</v>
      </c>
      <c r="K12" s="5" t="s">
        <v>12</v>
      </c>
      <c r="L12" s="5" t="s">
        <v>12</v>
      </c>
      <c r="M12" s="139" t="s">
        <v>385</v>
      </c>
      <c r="N12" s="139"/>
      <c r="O12" s="52" t="s">
        <v>256</v>
      </c>
      <c r="P12" s="5" t="s">
        <v>12</v>
      </c>
      <c r="Q12" s="5" t="s">
        <v>12</v>
      </c>
      <c r="R12" s="5" t="s">
        <v>12</v>
      </c>
      <c r="S12" s="5" t="s">
        <v>12</v>
      </c>
      <c r="V12" s="5" t="s">
        <v>12</v>
      </c>
      <c r="W12" s="5" t="s">
        <v>12</v>
      </c>
      <c r="X12" s="5" t="s">
        <v>12</v>
      </c>
      <c r="Y12" s="5" t="s">
        <v>12</v>
      </c>
      <c r="AD12" s="5" t="s">
        <v>12</v>
      </c>
      <c r="AE12" s="5" t="s">
        <v>12</v>
      </c>
      <c r="AF12" s="5" t="s">
        <v>12</v>
      </c>
      <c r="AG12" s="5" t="s">
        <v>12</v>
      </c>
    </row>
    <row r="13" spans="1:38" ht="18.75" x14ac:dyDescent="0.35">
      <c r="A13" s="8">
        <v>11</v>
      </c>
      <c r="B13" s="1" t="s">
        <v>3</v>
      </c>
      <c r="E13" s="2" t="s">
        <v>0</v>
      </c>
      <c r="F13" s="1" t="s">
        <v>5</v>
      </c>
      <c r="G13" s="1" t="s">
        <v>1</v>
      </c>
      <c r="H13" s="1" t="s">
        <v>4</v>
      </c>
      <c r="I13" s="4">
        <f>62.7*$B$1^-3.28*EXP(-13890/$B$1)</f>
        <v>6.9250102434000945E-20</v>
      </c>
      <c r="J13" s="5" t="s">
        <v>12</v>
      </c>
      <c r="K13" s="4">
        <f>0.00025*$B$1^-1.1*EXP(-18360/$B$1)</f>
        <v>2.6566012359015164E-23</v>
      </c>
      <c r="L13" s="5" t="s">
        <v>12</v>
      </c>
      <c r="M13" s="139">
        <v>7</v>
      </c>
      <c r="N13" s="139"/>
      <c r="O13" s="9" t="s">
        <v>159</v>
      </c>
      <c r="P13" s="5" t="s">
        <v>12</v>
      </c>
      <c r="Q13" s="5" t="s">
        <v>12</v>
      </c>
      <c r="R13" s="5" t="s">
        <v>12</v>
      </c>
      <c r="S13" s="5" t="s">
        <v>12</v>
      </c>
      <c r="V13" s="4">
        <f>7E-20*$B$1^-4.46*EXP(-217/$B$1)</f>
        <v>4.2236512822460779E-32</v>
      </c>
      <c r="W13" s="6">
        <f>40.1*$B$1^-6.16*EXP(-403/$B$1)</f>
        <v>4.3257819871403889E-16</v>
      </c>
      <c r="X13" s="4">
        <f>0.000000000117*$B$1^-0.039*EXP(-51/$B$1)</f>
        <v>8.2894605281259839E-11</v>
      </c>
      <c r="Y13" s="5" t="s">
        <v>12</v>
      </c>
      <c r="Z13" s="146">
        <v>7</v>
      </c>
      <c r="AA13" s="146"/>
      <c r="AB13" s="26" t="s">
        <v>154</v>
      </c>
      <c r="AD13" s="5" t="s">
        <v>12</v>
      </c>
      <c r="AE13" s="5" t="s">
        <v>12</v>
      </c>
      <c r="AF13" s="5" t="s">
        <v>12</v>
      </c>
      <c r="AG13" s="5">
        <f>0.0000000000311*($B$1/298)^1</f>
        <v>5.1988137583892619E-11</v>
      </c>
      <c r="AH13" s="81">
        <v>8</v>
      </c>
      <c r="AI13" s="8" t="s">
        <v>192</v>
      </c>
    </row>
    <row r="14" spans="1:38" ht="18" x14ac:dyDescent="0.35">
      <c r="A14" s="8">
        <v>12</v>
      </c>
      <c r="B14" s="150" t="s">
        <v>3</v>
      </c>
      <c r="C14" s="137" t="s">
        <v>1</v>
      </c>
      <c r="D14" s="137" t="s">
        <v>13</v>
      </c>
      <c r="E14" s="149" t="s">
        <v>0</v>
      </c>
      <c r="F14" s="1" t="s">
        <v>35</v>
      </c>
      <c r="G14" s="1"/>
      <c r="H14" s="1"/>
      <c r="I14" s="4">
        <f>0.143*$B$1^-10.19*EXP(-1597/$B$1)</f>
        <v>1.8921180311464074E-30</v>
      </c>
      <c r="J14" s="4">
        <f>8620000000000000*$B$1^-9.75*EXP(-1726/$B$1)</f>
        <v>1.3536108240726009E-12</v>
      </c>
      <c r="K14" s="4">
        <f>0.000000000143*$B$1^0.094*EXP(-82/$B$1)</f>
        <v>2.1746986582348926E-10</v>
      </c>
      <c r="L14" s="5" t="s">
        <v>12</v>
      </c>
      <c r="M14" s="139">
        <v>5</v>
      </c>
      <c r="N14" s="139"/>
      <c r="O14" s="9" t="s">
        <v>257</v>
      </c>
      <c r="P14" s="5" t="s">
        <v>12</v>
      </c>
      <c r="Q14" s="5" t="s">
        <v>12</v>
      </c>
      <c r="R14" s="5" t="s">
        <v>12</v>
      </c>
      <c r="S14" s="5" t="s">
        <v>12</v>
      </c>
      <c r="V14" s="5" t="s">
        <v>12</v>
      </c>
      <c r="W14" s="5" t="s">
        <v>12</v>
      </c>
      <c r="X14" s="5" t="s">
        <v>12</v>
      </c>
      <c r="Y14" s="5" t="s">
        <v>12</v>
      </c>
      <c r="AD14" s="5" t="s">
        <v>12</v>
      </c>
      <c r="AE14" s="5" t="s">
        <v>12</v>
      </c>
      <c r="AF14" s="5" t="s">
        <v>12</v>
      </c>
      <c r="AG14" s="5" t="s">
        <v>12</v>
      </c>
    </row>
    <row r="15" spans="1:38" x14ac:dyDescent="0.25">
      <c r="A15" s="8">
        <v>13</v>
      </c>
      <c r="B15" s="150"/>
      <c r="C15" s="137"/>
      <c r="D15" s="137"/>
      <c r="E15" s="149"/>
      <c r="F15" s="1" t="s">
        <v>27</v>
      </c>
      <c r="G15" s="1" t="s">
        <v>1</v>
      </c>
      <c r="H15" s="1" t="s">
        <v>5</v>
      </c>
      <c r="I15" s="5" t="s">
        <v>12</v>
      </c>
      <c r="J15" s="5" t="s">
        <v>12</v>
      </c>
      <c r="K15" s="5" t="s">
        <v>12</v>
      </c>
      <c r="L15" s="4">
        <f>1.85E-18*$B$1^2.28*EXP(-2417/$B$1)</f>
        <v>2.0416286824744114E-14</v>
      </c>
      <c r="M15" s="139"/>
      <c r="N15" s="139"/>
      <c r="O15" s="138" t="s">
        <v>157</v>
      </c>
      <c r="P15" s="5" t="s">
        <v>12</v>
      </c>
      <c r="Q15" s="5" t="s">
        <v>12</v>
      </c>
      <c r="R15" s="5" t="s">
        <v>12</v>
      </c>
      <c r="S15" s="5" t="s">
        <v>12</v>
      </c>
      <c r="V15" s="5" t="s">
        <v>12</v>
      </c>
      <c r="W15" s="5" t="s">
        <v>12</v>
      </c>
      <c r="X15" s="5" t="s">
        <v>12</v>
      </c>
      <c r="Y15" s="5" t="s">
        <v>12</v>
      </c>
      <c r="AD15" s="5" t="s">
        <v>12</v>
      </c>
      <c r="AE15" s="5" t="s">
        <v>12</v>
      </c>
      <c r="AF15" s="5" t="s">
        <v>12</v>
      </c>
      <c r="AG15" s="5" t="s">
        <v>12</v>
      </c>
    </row>
    <row r="16" spans="1:38" x14ac:dyDescent="0.25">
      <c r="A16" s="8">
        <v>14</v>
      </c>
      <c r="B16" s="150"/>
      <c r="C16" s="137"/>
      <c r="D16" s="137"/>
      <c r="E16" s="149"/>
      <c r="F16" s="1" t="s">
        <v>5</v>
      </c>
      <c r="G16" s="1" t="s">
        <v>1</v>
      </c>
      <c r="H16" s="1" t="s">
        <v>5</v>
      </c>
      <c r="I16" s="5" t="s">
        <v>12</v>
      </c>
      <c r="J16" s="5" t="s">
        <v>12</v>
      </c>
      <c r="K16" s="5" t="s">
        <v>12</v>
      </c>
      <c r="L16" s="4">
        <f>1.42E-18*$B$1^2.11*EXP(-2870/$B$1)</f>
        <v>2.195887579868737E-15</v>
      </c>
      <c r="M16" s="139"/>
      <c r="N16" s="139"/>
      <c r="O16" s="138"/>
      <c r="P16" s="5" t="s">
        <v>12</v>
      </c>
      <c r="Q16" s="5" t="s">
        <v>12</v>
      </c>
      <c r="R16" s="5" t="s">
        <v>12</v>
      </c>
      <c r="S16" s="5" t="s">
        <v>12</v>
      </c>
      <c r="V16" s="5" t="s">
        <v>12</v>
      </c>
      <c r="W16" s="5" t="s">
        <v>12</v>
      </c>
      <c r="X16" s="5" t="s">
        <v>12</v>
      </c>
      <c r="Y16" s="5" t="s">
        <v>12</v>
      </c>
      <c r="AD16" s="5" t="s">
        <v>12</v>
      </c>
      <c r="AE16" s="5" t="s">
        <v>12</v>
      </c>
      <c r="AF16" s="5" t="s">
        <v>12</v>
      </c>
      <c r="AG16" s="5" t="s">
        <v>12</v>
      </c>
    </row>
    <row r="17" spans="1:33" ht="18" x14ac:dyDescent="0.35">
      <c r="A17" s="8">
        <v>15</v>
      </c>
      <c r="B17" s="150" t="s">
        <v>3</v>
      </c>
      <c r="C17" s="137" t="s">
        <v>1</v>
      </c>
      <c r="D17" s="137" t="s">
        <v>20</v>
      </c>
      <c r="E17" s="149" t="s">
        <v>0</v>
      </c>
      <c r="F17" s="1" t="s">
        <v>15</v>
      </c>
      <c r="G17" s="1" t="s">
        <v>1</v>
      </c>
      <c r="H17" s="1" t="s">
        <v>13</v>
      </c>
      <c r="I17" s="5" t="s">
        <v>12</v>
      </c>
      <c r="J17" s="5" t="s">
        <v>12</v>
      </c>
      <c r="K17" s="5" t="s">
        <v>12</v>
      </c>
      <c r="L17" s="4">
        <f>3.88E-30*$B$1^5.45*EXP(-3867/$B$1)</f>
        <v>8.2820357185818936E-19</v>
      </c>
      <c r="M17" s="139">
        <v>4</v>
      </c>
      <c r="N17" s="139"/>
      <c r="O17" s="138"/>
      <c r="P17" s="5" t="s">
        <v>12</v>
      </c>
      <c r="Q17" s="5" t="s">
        <v>12</v>
      </c>
      <c r="R17" s="5" t="s">
        <v>12</v>
      </c>
      <c r="S17" s="5" t="s">
        <v>12</v>
      </c>
      <c r="V17" s="5" t="s">
        <v>12</v>
      </c>
      <c r="W17" s="5" t="s">
        <v>12</v>
      </c>
      <c r="X17" s="5" t="s">
        <v>12</v>
      </c>
      <c r="Y17" s="5" t="s">
        <v>12</v>
      </c>
      <c r="AD17" s="5" t="s">
        <v>12</v>
      </c>
      <c r="AE17" s="5" t="s">
        <v>12</v>
      </c>
      <c r="AF17" s="5" t="s">
        <v>12</v>
      </c>
      <c r="AG17" s="5" t="s">
        <v>12</v>
      </c>
    </row>
    <row r="18" spans="1:33" ht="18" x14ac:dyDescent="0.35">
      <c r="A18" s="8">
        <v>16</v>
      </c>
      <c r="B18" s="150"/>
      <c r="C18" s="137"/>
      <c r="D18" s="137"/>
      <c r="E18" s="149"/>
      <c r="F18" s="1" t="s">
        <v>36</v>
      </c>
      <c r="G18" s="1" t="s">
        <v>1</v>
      </c>
      <c r="H18" s="1" t="s">
        <v>6</v>
      </c>
      <c r="I18" s="5" t="s">
        <v>12</v>
      </c>
      <c r="J18" s="5" t="s">
        <v>12</v>
      </c>
      <c r="K18" s="5" t="s">
        <v>12</v>
      </c>
      <c r="L18" s="4">
        <f>0.0000000000000000279*$B$1^2.04*EXP(-8231/$B$1)</f>
        <v>5.9198712629511194E-19</v>
      </c>
      <c r="M18" s="139"/>
      <c r="N18" s="139"/>
      <c r="O18" s="138"/>
      <c r="P18" s="5" t="s">
        <v>12</v>
      </c>
      <c r="Q18" s="5" t="s">
        <v>12</v>
      </c>
      <c r="R18" s="5" t="s">
        <v>12</v>
      </c>
      <c r="S18" s="5" t="s">
        <v>12</v>
      </c>
      <c r="V18" s="5" t="s">
        <v>12</v>
      </c>
      <c r="W18" s="5" t="s">
        <v>12</v>
      </c>
      <c r="X18" s="5" t="s">
        <v>12</v>
      </c>
      <c r="Y18" s="5" t="s">
        <v>12</v>
      </c>
      <c r="AD18" s="5" t="s">
        <v>12</v>
      </c>
      <c r="AE18" s="5" t="s">
        <v>12</v>
      </c>
      <c r="AF18" s="5" t="s">
        <v>12</v>
      </c>
      <c r="AG18" s="5" t="s">
        <v>12</v>
      </c>
    </row>
    <row r="19" spans="1:33" ht="18" x14ac:dyDescent="0.35">
      <c r="A19" s="8">
        <v>17</v>
      </c>
      <c r="B19" s="1" t="s">
        <v>3</v>
      </c>
      <c r="C19" s="1" t="s">
        <v>1</v>
      </c>
      <c r="D19" s="1" t="s">
        <v>38</v>
      </c>
      <c r="E19" s="2" t="s">
        <v>0</v>
      </c>
      <c r="F19" s="1" t="s">
        <v>15</v>
      </c>
      <c r="G19" s="1" t="s">
        <v>1</v>
      </c>
      <c r="H19" s="1" t="s">
        <v>39</v>
      </c>
      <c r="I19" s="5" t="s">
        <v>12</v>
      </c>
      <c r="J19" s="5" t="s">
        <v>12</v>
      </c>
      <c r="K19" s="5" t="s">
        <v>12</v>
      </c>
      <c r="L19" s="4">
        <f>0.0000000000000136*$B$1^1.01*EXP(-2255/$B$1)</f>
        <v>7.7970540574344153E-14</v>
      </c>
      <c r="M19" s="139" t="s">
        <v>385</v>
      </c>
      <c r="N19" s="139"/>
      <c r="O19" s="52" t="s">
        <v>188</v>
      </c>
      <c r="P19" s="5" t="s">
        <v>12</v>
      </c>
      <c r="Q19" s="5" t="s">
        <v>12</v>
      </c>
      <c r="R19" s="5" t="s">
        <v>12</v>
      </c>
      <c r="S19" s="5" t="s">
        <v>12</v>
      </c>
      <c r="V19" s="5" t="s">
        <v>12</v>
      </c>
      <c r="W19" s="5" t="s">
        <v>12</v>
      </c>
      <c r="X19" s="5" t="s">
        <v>12</v>
      </c>
      <c r="Y19" s="5" t="s">
        <v>12</v>
      </c>
      <c r="AD19" s="5" t="s">
        <v>12</v>
      </c>
      <c r="AE19" s="5" t="s">
        <v>12</v>
      </c>
      <c r="AF19" s="5" t="s">
        <v>12</v>
      </c>
      <c r="AG19" s="5" t="s">
        <v>12</v>
      </c>
    </row>
    <row r="20" spans="1:33" ht="18" x14ac:dyDescent="0.35">
      <c r="A20" s="8">
        <v>18</v>
      </c>
      <c r="B20" s="1" t="s">
        <v>3</v>
      </c>
      <c r="C20" s="1" t="s">
        <v>1</v>
      </c>
      <c r="D20" s="1" t="s">
        <v>6</v>
      </c>
      <c r="E20" s="2" t="s">
        <v>0</v>
      </c>
      <c r="F20" s="1" t="s">
        <v>7</v>
      </c>
      <c r="G20" s="1" t="s">
        <v>1</v>
      </c>
      <c r="H20" s="1" t="s">
        <v>5</v>
      </c>
      <c r="I20" s="5" t="s">
        <v>12</v>
      </c>
      <c r="J20" s="4">
        <f>0.00000000021*$B$1^0.09*EXP(-18/$B$1)</f>
        <v>3.5423302076535541E-10</v>
      </c>
      <c r="K20" s="4">
        <f>0.00000000021*$B$1^0.09*EXP(-18/$B$1)</f>
        <v>3.5423302076535541E-10</v>
      </c>
      <c r="L20" s="5" t="s">
        <v>12</v>
      </c>
      <c r="M20" s="139">
        <v>2</v>
      </c>
      <c r="N20" s="139"/>
      <c r="O20" s="52" t="s">
        <v>156</v>
      </c>
      <c r="P20" s="5" t="s">
        <v>12</v>
      </c>
      <c r="Q20" s="5" t="s">
        <v>12</v>
      </c>
      <c r="R20" s="5" t="s">
        <v>12</v>
      </c>
      <c r="S20" s="5" t="s">
        <v>12</v>
      </c>
      <c r="U20" s="56"/>
      <c r="V20" s="5" t="s">
        <v>12</v>
      </c>
      <c r="W20" s="4">
        <f>0.000000000000014*$B$1^0.93*EXP(-14718/$B$1)</f>
        <v>6.6573981103205975E-25</v>
      </c>
      <c r="X20" s="5" t="s">
        <v>12</v>
      </c>
      <c r="Y20" s="5" t="s">
        <v>12</v>
      </c>
      <c r="Z20" s="146">
        <v>1</v>
      </c>
      <c r="AA20" s="146"/>
      <c r="AB20" s="26" t="s">
        <v>160</v>
      </c>
      <c r="AD20" s="5" t="s">
        <v>12</v>
      </c>
      <c r="AE20" s="5" t="s">
        <v>12</v>
      </c>
      <c r="AF20" s="5" t="s">
        <v>12</v>
      </c>
      <c r="AG20" s="5" t="s">
        <v>12</v>
      </c>
    </row>
    <row r="21" spans="1:33" ht="18" x14ac:dyDescent="0.35">
      <c r="A21" s="8">
        <v>19</v>
      </c>
      <c r="B21" s="1" t="s">
        <v>67</v>
      </c>
      <c r="C21" s="1" t="s">
        <v>1</v>
      </c>
      <c r="D21" s="1" t="s">
        <v>13</v>
      </c>
      <c r="E21" s="2" t="s">
        <v>0</v>
      </c>
      <c r="F21" s="1" t="s">
        <v>27</v>
      </c>
      <c r="G21" s="1" t="s">
        <v>1</v>
      </c>
      <c r="H21" s="1" t="s">
        <v>37</v>
      </c>
      <c r="I21" s="5" t="s">
        <v>12</v>
      </c>
      <c r="J21" s="5" t="s">
        <v>12</v>
      </c>
      <c r="K21" s="5" t="s">
        <v>12</v>
      </c>
      <c r="L21" s="4">
        <f>0.000000000726*$B$1^-0.15*EXP(-40/$B$1)</f>
        <v>2.6391253200458528E-10</v>
      </c>
      <c r="M21" s="139" t="s">
        <v>389</v>
      </c>
      <c r="N21" s="139"/>
      <c r="O21" s="9" t="s">
        <v>258</v>
      </c>
      <c r="P21" s="5" t="s">
        <v>12</v>
      </c>
      <c r="Q21" s="5" t="s">
        <v>12</v>
      </c>
      <c r="R21" s="5" t="s">
        <v>12</v>
      </c>
      <c r="S21" s="5" t="s">
        <v>12</v>
      </c>
      <c r="U21" s="56"/>
      <c r="V21" s="5" t="s">
        <v>12</v>
      </c>
      <c r="W21" s="5" t="s">
        <v>12</v>
      </c>
      <c r="X21" s="5" t="s">
        <v>12</v>
      </c>
      <c r="Y21" s="5" t="s">
        <v>12</v>
      </c>
      <c r="AD21" s="5" t="s">
        <v>12</v>
      </c>
      <c r="AE21" s="5" t="s">
        <v>12</v>
      </c>
      <c r="AF21" s="5" t="s">
        <v>12</v>
      </c>
      <c r="AG21" s="5" t="s">
        <v>12</v>
      </c>
    </row>
    <row r="22" spans="1:33" ht="18" customHeight="1" x14ac:dyDescent="0.25">
      <c r="A22" s="8">
        <v>20</v>
      </c>
      <c r="B22" s="150" t="s">
        <v>67</v>
      </c>
      <c r="C22" s="137" t="s">
        <v>1</v>
      </c>
      <c r="D22" s="137" t="s">
        <v>24</v>
      </c>
      <c r="E22" s="149" t="s">
        <v>0</v>
      </c>
      <c r="F22" s="1" t="s">
        <v>13</v>
      </c>
      <c r="G22" s="1" t="s">
        <v>1</v>
      </c>
      <c r="H22" s="1" t="s">
        <v>27</v>
      </c>
      <c r="I22" s="5" t="s">
        <v>12</v>
      </c>
      <c r="J22" s="5" t="s">
        <v>12</v>
      </c>
      <c r="K22" s="5" t="s">
        <v>12</v>
      </c>
      <c r="L22" s="4">
        <f>0.0000000000000219*$B$1^0.7*EXP(-1110/$B$1)</f>
        <v>1.8233998569397518E-13</v>
      </c>
      <c r="M22" s="139">
        <v>5</v>
      </c>
      <c r="N22" s="139"/>
      <c r="O22" s="148" t="s">
        <v>164</v>
      </c>
      <c r="P22" s="5" t="s">
        <v>12</v>
      </c>
      <c r="Q22" s="5" t="s">
        <v>12</v>
      </c>
      <c r="R22" s="5" t="s">
        <v>12</v>
      </c>
      <c r="S22" s="5" t="s">
        <v>12</v>
      </c>
      <c r="U22" s="56"/>
      <c r="V22" s="5" t="s">
        <v>12</v>
      </c>
      <c r="W22" s="5" t="s">
        <v>12</v>
      </c>
      <c r="X22" s="5" t="s">
        <v>12</v>
      </c>
      <c r="Y22" s="5" t="s">
        <v>12</v>
      </c>
      <c r="AD22" s="5" t="s">
        <v>12</v>
      </c>
      <c r="AE22" s="5" t="s">
        <v>12</v>
      </c>
      <c r="AF22" s="5" t="s">
        <v>12</v>
      </c>
      <c r="AG22" s="5" t="s">
        <v>12</v>
      </c>
    </row>
    <row r="23" spans="1:33" ht="18" x14ac:dyDescent="0.35">
      <c r="A23" s="8">
        <v>21</v>
      </c>
      <c r="B23" s="150"/>
      <c r="C23" s="137"/>
      <c r="D23" s="137"/>
      <c r="E23" s="149"/>
      <c r="F23" s="1" t="s">
        <v>28</v>
      </c>
      <c r="G23" s="1" t="s">
        <v>1</v>
      </c>
      <c r="H23" s="1" t="s">
        <v>27</v>
      </c>
      <c r="I23" s="5" t="s">
        <v>12</v>
      </c>
      <c r="J23" s="5" t="s">
        <v>12</v>
      </c>
      <c r="K23" s="5" t="s">
        <v>12</v>
      </c>
      <c r="L23" s="4">
        <f>0.000000000000153*$B$1^1.1*EXP(118/$B$1)</f>
        <v>1.7974702494419101E-10</v>
      </c>
      <c r="M23" s="139"/>
      <c r="N23" s="139"/>
      <c r="O23" s="148"/>
      <c r="P23" s="5" t="s">
        <v>12</v>
      </c>
      <c r="Q23" s="5" t="s">
        <v>12</v>
      </c>
      <c r="R23" s="5" t="s">
        <v>12</v>
      </c>
      <c r="S23" s="4">
        <f>0.000000000076*($B$1/298)*EXP(-540/(8.314*$B$1))</f>
        <v>1.1151479794205733E-10</v>
      </c>
      <c r="T23" s="78">
        <v>10</v>
      </c>
      <c r="U23" s="57" t="s">
        <v>215</v>
      </c>
      <c r="V23" s="5" t="s">
        <v>12</v>
      </c>
      <c r="W23" s="5" t="s">
        <v>12</v>
      </c>
      <c r="X23" s="5" t="s">
        <v>12</v>
      </c>
      <c r="Y23" s="5" t="s">
        <v>12</v>
      </c>
      <c r="AD23" s="5" t="s">
        <v>12</v>
      </c>
      <c r="AE23" s="5" t="s">
        <v>12</v>
      </c>
      <c r="AF23" s="5" t="s">
        <v>12</v>
      </c>
      <c r="AG23" s="5" t="s">
        <v>12</v>
      </c>
    </row>
    <row r="24" spans="1:33" ht="18" x14ac:dyDescent="0.35">
      <c r="A24" s="8">
        <v>22</v>
      </c>
      <c r="B24" s="1" t="s">
        <v>67</v>
      </c>
      <c r="C24" s="1" t="s">
        <v>1</v>
      </c>
      <c r="D24" s="1" t="s">
        <v>6</v>
      </c>
      <c r="E24" s="2" t="s">
        <v>0</v>
      </c>
      <c r="F24" s="1" t="s">
        <v>27</v>
      </c>
      <c r="G24" s="1" t="s">
        <v>1</v>
      </c>
      <c r="H24" s="1" t="s">
        <v>20</v>
      </c>
      <c r="I24" s="5" t="s">
        <v>12</v>
      </c>
      <c r="J24" s="5" t="s">
        <v>12</v>
      </c>
      <c r="K24" s="5" t="s">
        <v>12</v>
      </c>
      <c r="L24" s="4">
        <f>0.0000000000006*(B1/298)*EXP(670/$B$1)</f>
        <v>3.8495587792749337E-12</v>
      </c>
      <c r="M24" s="139">
        <v>11</v>
      </c>
      <c r="N24" s="139"/>
      <c r="O24" s="9" t="s">
        <v>259</v>
      </c>
      <c r="P24" s="5" t="s">
        <v>12</v>
      </c>
      <c r="Q24" s="5" t="s">
        <v>12</v>
      </c>
      <c r="R24" s="5" t="s">
        <v>12</v>
      </c>
      <c r="S24" s="5" t="s">
        <v>12</v>
      </c>
      <c r="U24" s="57"/>
      <c r="V24" s="5" t="s">
        <v>12</v>
      </c>
      <c r="W24" s="5" t="s">
        <v>12</v>
      </c>
      <c r="X24" s="5" t="s">
        <v>12</v>
      </c>
      <c r="Y24" s="5" t="s">
        <v>12</v>
      </c>
      <c r="AD24" s="5" t="s">
        <v>12</v>
      </c>
      <c r="AE24" s="5" t="s">
        <v>12</v>
      </c>
      <c r="AF24" s="5" t="s">
        <v>12</v>
      </c>
      <c r="AG24" s="5" t="s">
        <v>12</v>
      </c>
    </row>
    <row r="25" spans="1:33" ht="18" x14ac:dyDescent="0.35">
      <c r="A25" s="8">
        <v>23</v>
      </c>
      <c r="B25" s="1" t="s">
        <v>5</v>
      </c>
      <c r="E25" s="2" t="s">
        <v>0</v>
      </c>
      <c r="F25" s="1" t="s">
        <v>24</v>
      </c>
      <c r="G25" s="1" t="s">
        <v>1</v>
      </c>
      <c r="H25" s="1" t="s">
        <v>23</v>
      </c>
      <c r="I25" s="4">
        <f>1.64E-47*$B$1^11*EXP(-16648/$B$1)</f>
        <v>2.3541523662654017E-32</v>
      </c>
      <c r="J25" s="5" t="s">
        <v>12</v>
      </c>
      <c r="K25" s="4">
        <f>11100000000000000*$B$1^-0.28*EXP(-29567/$B$1)</f>
        <v>3.259249092256488E-11</v>
      </c>
      <c r="L25" s="5" t="s">
        <v>12</v>
      </c>
      <c r="M25" s="139">
        <v>12</v>
      </c>
      <c r="N25" s="139"/>
      <c r="O25" s="52" t="s">
        <v>163</v>
      </c>
      <c r="P25" s="5" t="s">
        <v>12</v>
      </c>
      <c r="Q25" s="5" t="s">
        <v>12</v>
      </c>
      <c r="R25" s="5" t="s">
        <v>12</v>
      </c>
      <c r="S25" s="5" t="s">
        <v>12</v>
      </c>
      <c r="U25" s="56"/>
      <c r="V25" s="5" t="s">
        <v>12</v>
      </c>
      <c r="W25" s="5" t="s">
        <v>12</v>
      </c>
      <c r="X25" s="5" t="s">
        <v>12</v>
      </c>
      <c r="Y25" s="5" t="s">
        <v>12</v>
      </c>
      <c r="AB25" s="15"/>
      <c r="AD25" s="5" t="s">
        <v>12</v>
      </c>
      <c r="AE25" s="5" t="s">
        <v>12</v>
      </c>
      <c r="AF25" s="5" t="s">
        <v>12</v>
      </c>
      <c r="AG25" s="5" t="s">
        <v>12</v>
      </c>
    </row>
    <row r="26" spans="1:33" ht="18" x14ac:dyDescent="0.35">
      <c r="A26" s="8">
        <v>24</v>
      </c>
      <c r="B26" s="1" t="s">
        <v>5</v>
      </c>
      <c r="C26" s="1" t="s">
        <v>1</v>
      </c>
      <c r="D26" s="1" t="s">
        <v>13</v>
      </c>
      <c r="E26" s="2" t="s">
        <v>0</v>
      </c>
      <c r="F26" s="1" t="s">
        <v>56</v>
      </c>
      <c r="G26" s="1" t="s">
        <v>1</v>
      </c>
      <c r="H26" s="1" t="s">
        <v>23</v>
      </c>
      <c r="I26" s="5" t="s">
        <v>12</v>
      </c>
      <c r="J26" s="5" t="s">
        <v>12</v>
      </c>
      <c r="K26" s="5" t="s">
        <v>12</v>
      </c>
      <c r="L26" s="4">
        <f>9.63E-22*$B$1^2.4*EXP(-1665/$B$1)</f>
        <v>1.0132559699818683E-16</v>
      </c>
      <c r="M26" s="139" t="s">
        <v>383</v>
      </c>
      <c r="N26" s="139"/>
      <c r="O26" s="52" t="s">
        <v>255</v>
      </c>
      <c r="P26" s="5" t="s">
        <v>12</v>
      </c>
      <c r="Q26" s="5" t="s">
        <v>12</v>
      </c>
      <c r="R26" s="5" t="s">
        <v>12</v>
      </c>
      <c r="S26" s="5" t="s">
        <v>12</v>
      </c>
      <c r="U26" s="56"/>
      <c r="V26" s="5" t="s">
        <v>12</v>
      </c>
      <c r="W26" s="5" t="s">
        <v>12</v>
      </c>
      <c r="X26" s="5" t="s">
        <v>12</v>
      </c>
      <c r="Y26" s="5" t="s">
        <v>12</v>
      </c>
      <c r="AD26" s="5" t="s">
        <v>12</v>
      </c>
      <c r="AE26" s="5" t="s">
        <v>12</v>
      </c>
      <c r="AF26" s="5" t="s">
        <v>12</v>
      </c>
      <c r="AG26" s="5" t="s">
        <v>12</v>
      </c>
    </row>
    <row r="27" spans="1:33" ht="18" x14ac:dyDescent="0.35">
      <c r="A27" s="8">
        <v>25</v>
      </c>
      <c r="B27" s="1" t="s">
        <v>5</v>
      </c>
      <c r="C27" s="1" t="s">
        <v>1</v>
      </c>
      <c r="D27" s="1" t="s">
        <v>20</v>
      </c>
      <c r="E27" s="2" t="s">
        <v>0</v>
      </c>
      <c r="F27" s="1" t="s">
        <v>13</v>
      </c>
      <c r="G27" s="1" t="s">
        <v>1</v>
      </c>
      <c r="H27" s="1" t="s">
        <v>18</v>
      </c>
      <c r="I27" s="5" t="s">
        <v>12</v>
      </c>
      <c r="J27" s="5" t="s">
        <v>12</v>
      </c>
      <c r="K27" s="5" t="s">
        <v>12</v>
      </c>
      <c r="L27" s="4">
        <f>1.08E-21*$B$1^2.48*EXP(-11666/$B$1)</f>
        <v>3.5668664965658425E-25</v>
      </c>
      <c r="M27" s="139">
        <v>4</v>
      </c>
      <c r="N27" s="139"/>
      <c r="O27" s="9" t="s">
        <v>260</v>
      </c>
      <c r="P27" s="5" t="s">
        <v>12</v>
      </c>
      <c r="Q27" s="5" t="s">
        <v>12</v>
      </c>
      <c r="R27" s="5" t="s">
        <v>12</v>
      </c>
      <c r="S27" s="5" t="s">
        <v>12</v>
      </c>
      <c r="U27" s="56"/>
      <c r="V27" s="5" t="s">
        <v>12</v>
      </c>
      <c r="W27" s="5" t="s">
        <v>12</v>
      </c>
      <c r="X27" s="5" t="s">
        <v>12</v>
      </c>
      <c r="Y27" s="5" t="s">
        <v>12</v>
      </c>
      <c r="AD27" s="5" t="s">
        <v>12</v>
      </c>
      <c r="AE27" s="5" t="s">
        <v>12</v>
      </c>
      <c r="AF27" s="5" t="s">
        <v>12</v>
      </c>
      <c r="AG27" s="5" t="s">
        <v>12</v>
      </c>
    </row>
    <row r="28" spans="1:33" ht="18" x14ac:dyDescent="0.35">
      <c r="A28" s="8">
        <v>26</v>
      </c>
      <c r="B28" s="1" t="s">
        <v>5</v>
      </c>
      <c r="C28" s="1" t="s">
        <v>1</v>
      </c>
      <c r="D28" s="1" t="s">
        <v>38</v>
      </c>
      <c r="E28" s="2" t="s">
        <v>0</v>
      </c>
      <c r="F28" s="1" t="s">
        <v>18</v>
      </c>
      <c r="G28" s="1" t="s">
        <v>1</v>
      </c>
      <c r="H28" s="1" t="s">
        <v>39</v>
      </c>
      <c r="I28" s="5" t="s">
        <v>12</v>
      </c>
      <c r="J28" s="5" t="s">
        <v>12</v>
      </c>
      <c r="K28" s="5" t="s">
        <v>12</v>
      </c>
      <c r="L28" s="4">
        <f>1.48E-20*$B$1^3.05*EXP(-15657/$B$1)</f>
        <v>5.5873735920602152E-26</v>
      </c>
      <c r="M28" s="139" t="s">
        <v>385</v>
      </c>
      <c r="N28" s="139"/>
      <c r="O28" s="52" t="s">
        <v>188</v>
      </c>
      <c r="P28" s="5" t="s">
        <v>12</v>
      </c>
      <c r="Q28" s="5" t="s">
        <v>12</v>
      </c>
      <c r="R28" s="5" t="s">
        <v>12</v>
      </c>
      <c r="S28" s="5" t="s">
        <v>12</v>
      </c>
      <c r="U28" s="56"/>
      <c r="V28" s="5" t="s">
        <v>12</v>
      </c>
      <c r="W28" s="5" t="s">
        <v>12</v>
      </c>
      <c r="X28" s="5" t="s">
        <v>12</v>
      </c>
      <c r="Y28" s="5" t="s">
        <v>12</v>
      </c>
      <c r="AD28" s="5" t="s">
        <v>12</v>
      </c>
      <c r="AE28" s="5" t="s">
        <v>12</v>
      </c>
      <c r="AF28" s="5" t="s">
        <v>12</v>
      </c>
      <c r="AG28" s="5" t="s">
        <v>12</v>
      </c>
    </row>
    <row r="29" spans="1:33" ht="18" x14ac:dyDescent="0.35">
      <c r="A29" s="8">
        <v>27</v>
      </c>
      <c r="B29" s="1" t="s">
        <v>5</v>
      </c>
      <c r="C29" s="1" t="s">
        <v>1</v>
      </c>
      <c r="D29" s="1" t="s">
        <v>43</v>
      </c>
      <c r="E29" s="2" t="s">
        <v>0</v>
      </c>
      <c r="F29" s="1" t="s">
        <v>13</v>
      </c>
      <c r="G29" s="1" t="s">
        <v>1</v>
      </c>
      <c r="H29" s="1" t="s">
        <v>44</v>
      </c>
      <c r="I29" s="5" t="s">
        <v>12</v>
      </c>
      <c r="J29" s="5" t="s">
        <v>12</v>
      </c>
      <c r="K29" s="5" t="s">
        <v>12</v>
      </c>
      <c r="L29" s="4">
        <f>0.000000000000104*($B$1/298)*EXP(2890/(8.314*$B$1))</f>
        <v>3.4932173822503821E-13</v>
      </c>
      <c r="M29" s="139" t="s">
        <v>400</v>
      </c>
      <c r="N29" s="139"/>
      <c r="O29" s="19" t="s">
        <v>261</v>
      </c>
      <c r="P29" s="5" t="s">
        <v>12</v>
      </c>
      <c r="Q29" s="5" t="s">
        <v>12</v>
      </c>
      <c r="R29" s="5" t="s">
        <v>12</v>
      </c>
      <c r="S29" s="5" t="s">
        <v>12</v>
      </c>
      <c r="U29" s="56"/>
      <c r="V29" s="5" t="s">
        <v>12</v>
      </c>
      <c r="W29" s="5" t="s">
        <v>12</v>
      </c>
      <c r="X29" s="5" t="s">
        <v>12</v>
      </c>
      <c r="Y29" s="5" t="s">
        <v>12</v>
      </c>
      <c r="AD29" s="5" t="s">
        <v>12</v>
      </c>
      <c r="AE29" s="5" t="s">
        <v>12</v>
      </c>
      <c r="AF29" s="5" t="s">
        <v>12</v>
      </c>
      <c r="AG29" s="5" t="s">
        <v>12</v>
      </c>
    </row>
    <row r="30" spans="1:33" ht="18" x14ac:dyDescent="0.35">
      <c r="A30" s="8">
        <v>28</v>
      </c>
      <c r="B30" s="1" t="s">
        <v>5</v>
      </c>
      <c r="C30" s="1" t="s">
        <v>1</v>
      </c>
      <c r="D30" s="1" t="s">
        <v>41</v>
      </c>
      <c r="E30" s="2" t="s">
        <v>0</v>
      </c>
      <c r="F30" s="1" t="s">
        <v>13</v>
      </c>
      <c r="G30" s="1" t="s">
        <v>1</v>
      </c>
      <c r="H30" s="1" t="s">
        <v>50</v>
      </c>
      <c r="I30" s="5" t="s">
        <v>12</v>
      </c>
      <c r="J30" s="5" t="s">
        <v>12</v>
      </c>
      <c r="K30" s="5" t="s">
        <v>12</v>
      </c>
      <c r="L30" s="4">
        <v>2.0099999999999999E-15</v>
      </c>
      <c r="M30" s="139" t="s">
        <v>402</v>
      </c>
      <c r="N30" s="139"/>
      <c r="O30" s="19" t="s">
        <v>138</v>
      </c>
      <c r="P30" s="5" t="s">
        <v>12</v>
      </c>
      <c r="Q30" s="5" t="s">
        <v>12</v>
      </c>
      <c r="R30" s="5" t="s">
        <v>12</v>
      </c>
      <c r="S30" s="5" t="s">
        <v>12</v>
      </c>
      <c r="U30" s="56"/>
      <c r="V30" s="5" t="s">
        <v>12</v>
      </c>
      <c r="W30" s="5" t="s">
        <v>12</v>
      </c>
      <c r="X30" s="5" t="s">
        <v>12</v>
      </c>
      <c r="Y30" s="5" t="s">
        <v>12</v>
      </c>
      <c r="AD30" s="5" t="s">
        <v>12</v>
      </c>
      <c r="AE30" s="5" t="s">
        <v>12</v>
      </c>
      <c r="AF30" s="5" t="s">
        <v>12</v>
      </c>
      <c r="AG30" s="5" t="s">
        <v>12</v>
      </c>
    </row>
    <row r="31" spans="1:33" ht="18.75" x14ac:dyDescent="0.35">
      <c r="A31" s="8">
        <v>29</v>
      </c>
      <c r="B31" s="150" t="s">
        <v>5</v>
      </c>
      <c r="C31" s="137" t="s">
        <v>1</v>
      </c>
      <c r="D31" s="137" t="s">
        <v>6</v>
      </c>
      <c r="E31" s="149" t="s">
        <v>0</v>
      </c>
      <c r="F31" s="1" t="s">
        <v>17</v>
      </c>
      <c r="G31" s="1"/>
      <c r="I31" s="4">
        <f>0.000000000000128*$B$1^-6.36*EXP(-635/$B$1)</f>
        <v>2.5026331482211692E-31</v>
      </c>
      <c r="J31" s="4">
        <f>1330000000*$B$1^-7.36*EXP(-1182/$B$1)</f>
        <v>1.7409892935817807E-12</v>
      </c>
      <c r="K31" s="4">
        <f>0.0000000000324*$B$1^0.28*EXP(-18/$B$1)</f>
        <v>1.7787429169167478E-10</v>
      </c>
      <c r="L31" s="4">
        <f>13700*$B$1^-6.61*EXP(-536/$B$1)</f>
        <v>6.9163571204732928E-15</v>
      </c>
      <c r="M31" s="139">
        <v>15</v>
      </c>
      <c r="N31" s="139"/>
      <c r="O31" s="138" t="s">
        <v>262</v>
      </c>
      <c r="P31" s="5" t="s">
        <v>12</v>
      </c>
      <c r="Q31" s="5" t="s">
        <v>12</v>
      </c>
      <c r="R31" s="5" t="s">
        <v>12</v>
      </c>
      <c r="S31" s="5" t="s">
        <v>12</v>
      </c>
      <c r="U31" s="56"/>
      <c r="V31" s="5" t="s">
        <v>12</v>
      </c>
      <c r="W31" s="5" t="s">
        <v>12</v>
      </c>
      <c r="X31" s="5" t="s">
        <v>12</v>
      </c>
      <c r="Y31" s="5" t="s">
        <v>12</v>
      </c>
      <c r="AD31" s="5" t="s">
        <v>12</v>
      </c>
      <c r="AE31" s="5" t="s">
        <v>12</v>
      </c>
      <c r="AF31" s="5" t="s">
        <v>12</v>
      </c>
      <c r="AG31" s="5" t="s">
        <v>12</v>
      </c>
    </row>
    <row r="32" spans="1:33" ht="18" x14ac:dyDescent="0.35">
      <c r="A32" s="8">
        <v>30</v>
      </c>
      <c r="B32" s="150"/>
      <c r="C32" s="137"/>
      <c r="D32" s="137"/>
      <c r="E32" s="149"/>
      <c r="F32" s="1" t="s">
        <v>7</v>
      </c>
      <c r="G32" s="1" t="s">
        <v>1</v>
      </c>
      <c r="H32" s="1" t="s">
        <v>13</v>
      </c>
      <c r="I32" s="5" t="s">
        <v>12</v>
      </c>
      <c r="J32" s="5" t="s">
        <v>12</v>
      </c>
      <c r="K32" s="5" t="s">
        <v>12</v>
      </c>
      <c r="L32" s="4">
        <f>1.22E-22*$B$1^2.75*EXP(1682/$B$1)</f>
        <v>9.3431321064820519E-14</v>
      </c>
      <c r="M32" s="139"/>
      <c r="N32" s="139"/>
      <c r="O32" s="138"/>
      <c r="P32" s="164">
        <f>0.00000000000045*EXP(804/$B$1)</f>
        <v>2.2602241709585258E-12</v>
      </c>
      <c r="Q32" s="165" t="s">
        <v>12</v>
      </c>
      <c r="R32" s="165" t="s">
        <v>12</v>
      </c>
      <c r="S32" s="165" t="s">
        <v>12</v>
      </c>
      <c r="T32" s="139">
        <v>16</v>
      </c>
      <c r="U32" s="152" t="s">
        <v>196</v>
      </c>
      <c r="V32" s="5" t="s">
        <v>12</v>
      </c>
      <c r="W32" s="5" t="s">
        <v>12</v>
      </c>
      <c r="X32" s="5" t="s">
        <v>12</v>
      </c>
      <c r="Y32" s="5" t="s">
        <v>12</v>
      </c>
      <c r="AD32" s="5" t="s">
        <v>12</v>
      </c>
      <c r="AE32" s="5" t="s">
        <v>12</v>
      </c>
      <c r="AF32" s="5" t="s">
        <v>12</v>
      </c>
      <c r="AG32" s="5" t="s">
        <v>12</v>
      </c>
    </row>
    <row r="33" spans="1:35" ht="18.75" x14ac:dyDescent="0.35">
      <c r="A33" s="8">
        <v>31</v>
      </c>
      <c r="B33" s="150"/>
      <c r="C33" s="137"/>
      <c r="D33" s="137"/>
      <c r="E33" s="149"/>
      <c r="F33" s="1" t="s">
        <v>20</v>
      </c>
      <c r="G33" s="1" t="s">
        <v>1</v>
      </c>
      <c r="H33" s="1" t="s">
        <v>19</v>
      </c>
      <c r="I33" s="5" t="s">
        <v>12</v>
      </c>
      <c r="J33" s="5" t="s">
        <v>12</v>
      </c>
      <c r="K33" s="5" t="s">
        <v>12</v>
      </c>
      <c r="L33" s="4">
        <f>5.47E-20*$B$1^2.07*EXP(2064/$B$1)</f>
        <v>1.3211383538171378E-12</v>
      </c>
      <c r="M33" s="139"/>
      <c r="N33" s="139"/>
      <c r="O33" s="138"/>
      <c r="P33" s="164"/>
      <c r="Q33" s="165"/>
      <c r="R33" s="165"/>
      <c r="S33" s="165"/>
      <c r="T33" s="139"/>
      <c r="U33" s="152"/>
      <c r="V33" s="5" t="s">
        <v>12</v>
      </c>
      <c r="W33" s="5" t="s">
        <v>12</v>
      </c>
      <c r="X33" s="5" t="s">
        <v>12</v>
      </c>
      <c r="Y33" s="5" t="s">
        <v>12</v>
      </c>
      <c r="AD33" s="5" t="s">
        <v>12</v>
      </c>
      <c r="AE33" s="5" t="s">
        <v>12</v>
      </c>
      <c r="AF33" s="5" t="s">
        <v>12</v>
      </c>
      <c r="AG33" s="5" t="s">
        <v>12</v>
      </c>
    </row>
    <row r="34" spans="1:35" ht="18" x14ac:dyDescent="0.35">
      <c r="A34" s="8">
        <v>32</v>
      </c>
      <c r="B34" s="150" t="s">
        <v>5</v>
      </c>
      <c r="C34" s="137" t="s">
        <v>1</v>
      </c>
      <c r="D34" s="137" t="s">
        <v>7</v>
      </c>
      <c r="E34" s="149" t="s">
        <v>0</v>
      </c>
      <c r="F34" s="1" t="s">
        <v>22</v>
      </c>
      <c r="G34" s="1"/>
      <c r="H34" s="1"/>
      <c r="I34" s="4">
        <f>14.4*$B$1^-13.1*EXP(-963/$B$1)</f>
        <v>9.624699813476871E-36</v>
      </c>
      <c r="J34" s="4">
        <f>840000000000000000000*$B$1^-13.5*EXP(-629/$B$1)</f>
        <v>9.1526327306264588E-17</v>
      </c>
      <c r="K34" s="4">
        <f>0.00000000035</f>
        <v>3.4999999999999998E-10</v>
      </c>
      <c r="L34" s="5" t="s">
        <v>12</v>
      </c>
      <c r="M34" s="139">
        <v>1</v>
      </c>
      <c r="N34" s="139"/>
      <c r="O34" s="138" t="s">
        <v>161</v>
      </c>
      <c r="P34" s="5" t="s">
        <v>12</v>
      </c>
      <c r="Q34" s="5" t="s">
        <v>12</v>
      </c>
      <c r="R34" s="5" t="s">
        <v>12</v>
      </c>
      <c r="S34" s="5" t="s">
        <v>12</v>
      </c>
      <c r="U34" s="56"/>
      <c r="V34" s="5" t="s">
        <v>12</v>
      </c>
      <c r="W34" s="5" t="s">
        <v>12</v>
      </c>
      <c r="X34" s="5" t="s">
        <v>12</v>
      </c>
      <c r="Y34" s="5" t="s">
        <v>12</v>
      </c>
      <c r="AD34" s="5" t="s">
        <v>12</v>
      </c>
      <c r="AE34" s="5" t="s">
        <v>12</v>
      </c>
      <c r="AF34" s="5" t="s">
        <v>12</v>
      </c>
      <c r="AG34" s="5" t="s">
        <v>12</v>
      </c>
    </row>
    <row r="35" spans="1:35" ht="18" x14ac:dyDescent="0.35">
      <c r="A35" s="8">
        <v>33</v>
      </c>
      <c r="B35" s="150"/>
      <c r="C35" s="137"/>
      <c r="D35" s="137"/>
      <c r="E35" s="149"/>
      <c r="F35" s="1" t="s">
        <v>18</v>
      </c>
      <c r="G35" s="1" t="s">
        <v>1</v>
      </c>
      <c r="H35" s="1" t="s">
        <v>23</v>
      </c>
      <c r="I35" s="5" t="s">
        <v>12</v>
      </c>
      <c r="J35" s="4">
        <f>1E-26*$B$1^3.6*EXP(-1056/$B$1)</f>
        <v>6.1639652924656954E-18</v>
      </c>
      <c r="K35" s="5" t="s">
        <v>12</v>
      </c>
      <c r="L35" s="5" t="s">
        <v>12</v>
      </c>
      <c r="M35" s="139"/>
      <c r="N35" s="139"/>
      <c r="O35" s="138"/>
      <c r="P35" s="5" t="s">
        <v>12</v>
      </c>
      <c r="Q35" s="5" t="s">
        <v>12</v>
      </c>
      <c r="R35" s="5" t="s">
        <v>12</v>
      </c>
      <c r="S35" s="5" t="s">
        <v>12</v>
      </c>
      <c r="U35" s="56"/>
      <c r="V35" s="5" t="s">
        <v>12</v>
      </c>
      <c r="W35" s="5" t="s">
        <v>12</v>
      </c>
      <c r="X35" s="5" t="s">
        <v>12</v>
      </c>
      <c r="Y35" s="5" t="s">
        <v>12</v>
      </c>
      <c r="AD35" s="5" t="s">
        <v>12</v>
      </c>
      <c r="AE35" s="5" t="s">
        <v>12</v>
      </c>
      <c r="AF35" s="5" t="s">
        <v>12</v>
      </c>
      <c r="AG35" s="5" t="s">
        <v>12</v>
      </c>
    </row>
    <row r="36" spans="1:35" ht="18.75" x14ac:dyDescent="0.35">
      <c r="A36" s="8">
        <v>34</v>
      </c>
      <c r="B36" s="1" t="s">
        <v>5</v>
      </c>
      <c r="C36" s="1" t="s">
        <v>1</v>
      </c>
      <c r="D36" s="1" t="s">
        <v>4</v>
      </c>
      <c r="E36" s="2" t="s">
        <v>0</v>
      </c>
      <c r="F36" s="1" t="s">
        <v>13</v>
      </c>
      <c r="G36" s="1" t="s">
        <v>1</v>
      </c>
      <c r="H36" s="1" t="s">
        <v>23</v>
      </c>
      <c r="I36" s="5" t="s">
        <v>12</v>
      </c>
      <c r="J36" s="5" t="s">
        <v>12</v>
      </c>
      <c r="K36" s="63">
        <f>0.0000000000000001*$B$1^1.44*EXP(-469/$B$1)</f>
        <v>2.987566010731135E-13</v>
      </c>
      <c r="L36" s="5" t="s">
        <v>12</v>
      </c>
      <c r="M36" s="139">
        <v>7</v>
      </c>
      <c r="N36" s="139"/>
      <c r="O36" s="19" t="s">
        <v>155</v>
      </c>
      <c r="P36" s="4">
        <f>0.0000000000024*EXP(-960/$B$1)</f>
        <v>3.4935675961152033E-13</v>
      </c>
      <c r="Q36" s="5" t="s">
        <v>12</v>
      </c>
      <c r="R36" s="5" t="s">
        <v>12</v>
      </c>
      <c r="S36" s="5" t="s">
        <v>12</v>
      </c>
      <c r="T36" s="78">
        <v>17</v>
      </c>
      <c r="U36" s="56" t="s">
        <v>195</v>
      </c>
      <c r="V36" s="5" t="s">
        <v>12</v>
      </c>
      <c r="W36" s="5" t="s">
        <v>12</v>
      </c>
      <c r="X36" s="5" t="s">
        <v>12</v>
      </c>
      <c r="Y36" s="5" t="s">
        <v>12</v>
      </c>
      <c r="AD36" s="5" t="s">
        <v>12</v>
      </c>
      <c r="AE36" s="5" t="s">
        <v>12</v>
      </c>
      <c r="AF36" s="5" t="s">
        <v>12</v>
      </c>
      <c r="AG36" s="5" t="s">
        <v>12</v>
      </c>
    </row>
    <row r="37" spans="1:35" ht="18" x14ac:dyDescent="0.35">
      <c r="A37" s="8">
        <v>35</v>
      </c>
      <c r="B37" s="1" t="s">
        <v>5</v>
      </c>
      <c r="C37" s="1" t="s">
        <v>1</v>
      </c>
      <c r="D37" s="1" t="s">
        <v>14</v>
      </c>
      <c r="E37" s="2" t="s">
        <v>0</v>
      </c>
      <c r="F37" s="1" t="s">
        <v>13</v>
      </c>
      <c r="G37" s="1" t="s">
        <v>1</v>
      </c>
      <c r="H37" s="1" t="s">
        <v>23</v>
      </c>
      <c r="I37" s="5" t="s">
        <v>12</v>
      </c>
      <c r="J37" s="5" t="s">
        <v>12</v>
      </c>
      <c r="K37" s="5" t="s">
        <v>12</v>
      </c>
      <c r="L37" s="12">
        <f>0.0000000000024*($B$1/298)*EXP(-7980/(8.314*$B$1))</f>
        <v>5.8420332063893183E-13</v>
      </c>
      <c r="M37" s="139">
        <v>10</v>
      </c>
      <c r="N37" s="139"/>
      <c r="O37" s="9" t="s">
        <v>263</v>
      </c>
      <c r="P37" s="5" t="s">
        <v>12</v>
      </c>
      <c r="Q37" s="5" t="s">
        <v>12</v>
      </c>
      <c r="R37" s="5" t="s">
        <v>12</v>
      </c>
      <c r="S37" s="5" t="s">
        <v>12</v>
      </c>
      <c r="U37" s="56"/>
      <c r="V37" s="5" t="s">
        <v>12</v>
      </c>
      <c r="W37" s="5" t="s">
        <v>12</v>
      </c>
      <c r="X37" s="5" t="s">
        <v>12</v>
      </c>
      <c r="Y37" s="5" t="s">
        <v>12</v>
      </c>
      <c r="AD37" s="5" t="s">
        <v>12</v>
      </c>
      <c r="AE37" s="5" t="s">
        <v>12</v>
      </c>
      <c r="AF37" s="5" t="s">
        <v>12</v>
      </c>
      <c r="AG37" s="5" t="s">
        <v>12</v>
      </c>
    </row>
    <row r="38" spans="1:35" x14ac:dyDescent="0.25">
      <c r="A38" s="8">
        <v>36</v>
      </c>
      <c r="B38" s="1" t="s">
        <v>5</v>
      </c>
      <c r="C38" s="1" t="s">
        <v>1</v>
      </c>
      <c r="D38" s="11" t="s">
        <v>29</v>
      </c>
      <c r="E38" s="2" t="s">
        <v>0</v>
      </c>
      <c r="F38" s="1" t="s">
        <v>13</v>
      </c>
      <c r="G38" s="1" t="s">
        <v>1</v>
      </c>
      <c r="H38" s="1" t="s">
        <v>6</v>
      </c>
      <c r="I38" s="5" t="s">
        <v>12</v>
      </c>
      <c r="J38" s="5" t="s">
        <v>12</v>
      </c>
      <c r="K38" s="5" t="s">
        <v>12</v>
      </c>
      <c r="L38" s="12">
        <v>7.8000000000000002E-11</v>
      </c>
      <c r="M38" s="139">
        <v>18</v>
      </c>
      <c r="N38" s="139"/>
      <c r="O38" s="19" t="s">
        <v>139</v>
      </c>
      <c r="P38" s="5" t="s">
        <v>12</v>
      </c>
      <c r="Q38" s="5" t="s">
        <v>12</v>
      </c>
      <c r="R38" s="5" t="s">
        <v>12</v>
      </c>
      <c r="S38" s="5" t="s">
        <v>12</v>
      </c>
      <c r="U38" s="56"/>
      <c r="V38" s="5" t="s">
        <v>12</v>
      </c>
      <c r="W38" s="5" t="s">
        <v>12</v>
      </c>
      <c r="X38" s="5" t="s">
        <v>12</v>
      </c>
      <c r="Y38" s="5" t="s">
        <v>12</v>
      </c>
      <c r="AD38" s="5" t="s">
        <v>12</v>
      </c>
      <c r="AE38" s="5" t="s">
        <v>12</v>
      </c>
      <c r="AF38" s="5" t="s">
        <v>12</v>
      </c>
      <c r="AG38" s="5" t="s">
        <v>12</v>
      </c>
    </row>
    <row r="39" spans="1:35" ht="18" x14ac:dyDescent="0.35">
      <c r="A39" s="8">
        <v>37</v>
      </c>
      <c r="B39" s="1" t="s">
        <v>27</v>
      </c>
      <c r="E39" s="2" t="s">
        <v>0</v>
      </c>
      <c r="F39" s="1" t="s">
        <v>24</v>
      </c>
      <c r="G39" s="1" t="s">
        <v>1</v>
      </c>
      <c r="H39" s="1" t="s">
        <v>23</v>
      </c>
      <c r="I39" s="12">
        <f>8.88E-32*($B$1/298)^-5.88*EXP(-27270/(8.314*$B$1))</f>
        <v>5.9808990712877089E-36</v>
      </c>
      <c r="J39" s="5" t="s">
        <v>12</v>
      </c>
      <c r="K39" s="12">
        <f>449000000000000*($B$1/298)^-0.46*EXP(-21370/(8.314*$B$1))</f>
        <v>2035728034448.5071</v>
      </c>
      <c r="L39" s="5" t="s">
        <v>12</v>
      </c>
      <c r="M39" s="81">
        <v>1</v>
      </c>
      <c r="N39" s="81">
        <v>12</v>
      </c>
      <c r="O39" s="9" t="s">
        <v>264</v>
      </c>
      <c r="P39" s="5" t="s">
        <v>12</v>
      </c>
      <c r="Q39" s="5" t="s">
        <v>12</v>
      </c>
      <c r="R39" s="5" t="s">
        <v>12</v>
      </c>
      <c r="S39" s="12">
        <f>0.00000000028*($B$1/298)*EXP(-15130/(8.314*$B$1))</f>
        <v>1.2127028049624641E-11</v>
      </c>
      <c r="T39" s="78">
        <v>10</v>
      </c>
      <c r="U39" s="57" t="s">
        <v>216</v>
      </c>
      <c r="V39" s="4">
        <f>2.38E-20*$B$1^-4.92*EXP(-617/$B$1)</f>
        <v>3.6953488077127549E-34</v>
      </c>
      <c r="W39" s="5" t="s">
        <v>12</v>
      </c>
      <c r="X39" s="4">
        <f>0.0000000000664*$B$1^0.004*EXP(-8/$B$1)</f>
        <v>6.6985839183017176E-11</v>
      </c>
      <c r="Y39" s="5" t="s">
        <v>12</v>
      </c>
      <c r="Z39" s="81">
        <v>1</v>
      </c>
      <c r="AA39" s="81">
        <v>12</v>
      </c>
      <c r="AB39" s="22" t="s">
        <v>409</v>
      </c>
      <c r="AD39" s="4">
        <f>1.44E-33*($B$1/298)^-3.9</f>
        <v>1.9413390785477398E-34</v>
      </c>
      <c r="AE39" s="5" t="s">
        <v>12</v>
      </c>
      <c r="AF39" s="5" t="s">
        <v>12</v>
      </c>
      <c r="AG39" s="5" t="s">
        <v>12</v>
      </c>
      <c r="AH39" s="81">
        <v>10</v>
      </c>
      <c r="AI39" s="55" t="s">
        <v>410</v>
      </c>
    </row>
    <row r="40" spans="1:35" ht="18" x14ac:dyDescent="0.35">
      <c r="A40" s="8">
        <v>38</v>
      </c>
      <c r="B40" s="1" t="s">
        <v>27</v>
      </c>
      <c r="C40" s="1" t="s">
        <v>1</v>
      </c>
      <c r="D40" s="1" t="s">
        <v>28</v>
      </c>
      <c r="E40" s="2" t="s">
        <v>0</v>
      </c>
      <c r="F40" s="1" t="s">
        <v>37</v>
      </c>
      <c r="G40" s="1" t="s">
        <v>1</v>
      </c>
      <c r="H40" s="1" t="s">
        <v>13</v>
      </c>
      <c r="I40" s="5" t="s">
        <v>12</v>
      </c>
      <c r="J40" s="5" t="s">
        <v>12</v>
      </c>
      <c r="K40" s="5" t="s">
        <v>12</v>
      </c>
      <c r="L40" s="12">
        <v>3.4000000000000001E-12</v>
      </c>
      <c r="M40" s="139" t="s">
        <v>411</v>
      </c>
      <c r="N40" s="139"/>
      <c r="O40" s="19" t="s">
        <v>140</v>
      </c>
      <c r="P40" s="5" t="s">
        <v>12</v>
      </c>
      <c r="Q40" s="5" t="s">
        <v>12</v>
      </c>
      <c r="R40" s="5" t="s">
        <v>12</v>
      </c>
      <c r="S40" s="5" t="s">
        <v>12</v>
      </c>
      <c r="V40" s="5" t="s">
        <v>12</v>
      </c>
      <c r="W40" s="5" t="s">
        <v>12</v>
      </c>
      <c r="X40" s="5" t="s">
        <v>12</v>
      </c>
      <c r="Y40" s="5" t="s">
        <v>12</v>
      </c>
      <c r="AD40" s="5" t="s">
        <v>12</v>
      </c>
      <c r="AE40" s="5" t="s">
        <v>12</v>
      </c>
      <c r="AF40" s="5" t="s">
        <v>12</v>
      </c>
      <c r="AG40" s="5" t="s">
        <v>12</v>
      </c>
    </row>
    <row r="41" spans="1:35" ht="18" x14ac:dyDescent="0.35">
      <c r="A41" s="8">
        <v>39</v>
      </c>
      <c r="B41" s="1" t="s">
        <v>27</v>
      </c>
      <c r="C41" s="1" t="s">
        <v>1</v>
      </c>
      <c r="D41" s="1" t="s">
        <v>24</v>
      </c>
      <c r="E41" s="2" t="s">
        <v>0</v>
      </c>
      <c r="F41" s="1" t="s">
        <v>28</v>
      </c>
      <c r="G41" s="1" t="s">
        <v>1</v>
      </c>
      <c r="H41" s="1" t="s">
        <v>23</v>
      </c>
      <c r="I41" s="5" t="s">
        <v>12</v>
      </c>
      <c r="J41" s="5" t="s">
        <v>12</v>
      </c>
      <c r="K41" s="5" t="s">
        <v>12</v>
      </c>
      <c r="L41" s="12">
        <v>2.31E-10</v>
      </c>
      <c r="M41" s="139">
        <v>20</v>
      </c>
      <c r="N41" s="139"/>
      <c r="O41" s="9" t="s">
        <v>265</v>
      </c>
      <c r="P41" s="5" t="s">
        <v>12</v>
      </c>
      <c r="Q41" s="5" t="s">
        <v>12</v>
      </c>
      <c r="R41" s="5" t="s">
        <v>12</v>
      </c>
      <c r="S41" s="5" t="s">
        <v>12</v>
      </c>
      <c r="V41" s="5" t="s">
        <v>12</v>
      </c>
      <c r="W41" s="5" t="s">
        <v>12</v>
      </c>
      <c r="X41" s="5" t="s">
        <v>12</v>
      </c>
      <c r="Y41" s="5" t="s">
        <v>12</v>
      </c>
      <c r="AD41" s="5" t="s">
        <v>12</v>
      </c>
      <c r="AE41" s="5" t="s">
        <v>12</v>
      </c>
      <c r="AF41" s="5" t="s">
        <v>12</v>
      </c>
      <c r="AG41" s="5" t="s">
        <v>12</v>
      </c>
    </row>
    <row r="42" spans="1:35" ht="18.75" x14ac:dyDescent="0.35">
      <c r="A42" s="8">
        <v>40</v>
      </c>
      <c r="B42" s="1" t="s">
        <v>27</v>
      </c>
      <c r="C42" s="1" t="s">
        <v>1</v>
      </c>
      <c r="D42" s="1" t="s">
        <v>43</v>
      </c>
      <c r="E42" s="2" t="s">
        <v>0</v>
      </c>
      <c r="F42" s="1" t="s">
        <v>13</v>
      </c>
      <c r="G42" s="1" t="s">
        <v>1</v>
      </c>
      <c r="H42" s="1" t="s">
        <v>44</v>
      </c>
      <c r="I42" s="5" t="s">
        <v>12</v>
      </c>
      <c r="J42" s="5" t="s">
        <v>12</v>
      </c>
      <c r="K42" s="5" t="s">
        <v>12</v>
      </c>
      <c r="L42" s="12">
        <f>0.000000000000011*($B$1/298)^3.99*EXP(-14230/(8.314*$B$1))</f>
        <v>2.7514659584064687E-15</v>
      </c>
      <c r="M42" s="139">
        <v>21</v>
      </c>
      <c r="N42" s="139"/>
      <c r="O42" s="19" t="s">
        <v>266</v>
      </c>
      <c r="P42" s="5" t="s">
        <v>12</v>
      </c>
      <c r="Q42" s="5" t="s">
        <v>12</v>
      </c>
      <c r="R42" s="5" t="s">
        <v>12</v>
      </c>
      <c r="S42" s="5" t="s">
        <v>12</v>
      </c>
      <c r="V42" s="5" t="s">
        <v>12</v>
      </c>
      <c r="W42" s="5" t="s">
        <v>12</v>
      </c>
      <c r="X42" s="5" t="s">
        <v>12</v>
      </c>
      <c r="Y42" s="5" t="s">
        <v>12</v>
      </c>
      <c r="AD42" s="5" t="s">
        <v>12</v>
      </c>
      <c r="AE42" s="5" t="s">
        <v>12</v>
      </c>
      <c r="AF42" s="5" t="s">
        <v>12</v>
      </c>
      <c r="AG42" s="5" t="s">
        <v>12</v>
      </c>
    </row>
    <row r="43" spans="1:35" ht="18" x14ac:dyDescent="0.35">
      <c r="A43" s="8">
        <v>41</v>
      </c>
      <c r="B43" s="1" t="s">
        <v>27</v>
      </c>
      <c r="C43" s="1" t="s">
        <v>1</v>
      </c>
      <c r="D43" s="1" t="s">
        <v>44</v>
      </c>
      <c r="E43" s="2" t="s">
        <v>0</v>
      </c>
      <c r="F43" s="1" t="s">
        <v>13</v>
      </c>
      <c r="G43" s="1" t="s">
        <v>1</v>
      </c>
      <c r="H43" s="1" t="s">
        <v>41</v>
      </c>
      <c r="I43" s="5" t="s">
        <v>12</v>
      </c>
      <c r="J43" s="5" t="s">
        <v>12</v>
      </c>
      <c r="K43" s="5" t="s">
        <v>12</v>
      </c>
      <c r="L43" s="12">
        <v>7.0699999999999996E-23</v>
      </c>
      <c r="M43" s="139">
        <v>22</v>
      </c>
      <c r="N43" s="139"/>
      <c r="O43" s="9" t="s">
        <v>139</v>
      </c>
      <c r="P43" s="5" t="s">
        <v>12</v>
      </c>
      <c r="Q43" s="5" t="s">
        <v>12</v>
      </c>
      <c r="R43" s="5" t="s">
        <v>12</v>
      </c>
      <c r="S43" s="5" t="s">
        <v>12</v>
      </c>
      <c r="V43" s="5" t="s">
        <v>12</v>
      </c>
      <c r="W43" s="5" t="s">
        <v>12</v>
      </c>
      <c r="X43" s="5" t="s">
        <v>12</v>
      </c>
      <c r="Y43" s="5" t="s">
        <v>12</v>
      </c>
      <c r="AD43" s="5" t="s">
        <v>12</v>
      </c>
      <c r="AE43" s="5" t="s">
        <v>12</v>
      </c>
      <c r="AF43" s="5" t="s">
        <v>12</v>
      </c>
      <c r="AG43" s="5" t="s">
        <v>12</v>
      </c>
    </row>
    <row r="44" spans="1:35" ht="18" x14ac:dyDescent="0.35">
      <c r="A44" s="8">
        <v>42</v>
      </c>
      <c r="B44" s="1" t="s">
        <v>27</v>
      </c>
      <c r="C44" s="1" t="s">
        <v>1</v>
      </c>
      <c r="D44" s="1" t="s">
        <v>14</v>
      </c>
      <c r="E44" s="2" t="s">
        <v>0</v>
      </c>
      <c r="F44" s="1" t="s">
        <v>13</v>
      </c>
      <c r="G44" s="1" t="s">
        <v>1</v>
      </c>
      <c r="H44" s="1" t="s">
        <v>23</v>
      </c>
      <c r="I44" s="5" t="s">
        <v>12</v>
      </c>
      <c r="J44" s="5" t="s">
        <v>12</v>
      </c>
      <c r="K44" s="5" t="s">
        <v>12</v>
      </c>
      <c r="L44" s="12">
        <v>4.9799999999999999E-11</v>
      </c>
      <c r="M44" s="139">
        <v>23</v>
      </c>
      <c r="N44" s="139"/>
      <c r="O44" s="19" t="s">
        <v>139</v>
      </c>
      <c r="P44" s="5" t="s">
        <v>12</v>
      </c>
      <c r="Q44" s="5" t="s">
        <v>12</v>
      </c>
      <c r="R44" s="5" t="s">
        <v>12</v>
      </c>
      <c r="S44" s="5" t="s">
        <v>12</v>
      </c>
      <c r="V44" s="5" t="s">
        <v>12</v>
      </c>
      <c r="W44" s="5" t="s">
        <v>12</v>
      </c>
      <c r="X44" s="5" t="s">
        <v>12</v>
      </c>
      <c r="Y44" s="5" t="s">
        <v>12</v>
      </c>
      <c r="AD44" s="5" t="s">
        <v>12</v>
      </c>
      <c r="AE44" s="5" t="s">
        <v>12</v>
      </c>
      <c r="AF44" s="5" t="s">
        <v>12</v>
      </c>
      <c r="AG44" s="5" t="s">
        <v>12</v>
      </c>
    </row>
    <row r="45" spans="1:35" x14ac:dyDescent="0.25">
      <c r="A45" s="8">
        <v>43</v>
      </c>
      <c r="B45" s="1" t="s">
        <v>27</v>
      </c>
      <c r="C45" s="1" t="s">
        <v>1</v>
      </c>
      <c r="D45" s="1" t="s">
        <v>29</v>
      </c>
      <c r="E45" s="2" t="s">
        <v>0</v>
      </c>
      <c r="F45" s="1" t="s">
        <v>13</v>
      </c>
      <c r="G45" s="1" t="s">
        <v>1</v>
      </c>
      <c r="H45" s="1" t="s">
        <v>6</v>
      </c>
      <c r="I45" s="5" t="s">
        <v>12</v>
      </c>
      <c r="J45" s="5" t="s">
        <v>12</v>
      </c>
      <c r="K45" s="5" t="s">
        <v>12</v>
      </c>
      <c r="L45" s="12">
        <v>5.6499999999999999E-11</v>
      </c>
      <c r="M45" s="139">
        <v>24</v>
      </c>
      <c r="N45" s="139"/>
      <c r="O45" s="8" t="s">
        <v>228</v>
      </c>
      <c r="P45" s="5" t="s">
        <v>12</v>
      </c>
      <c r="Q45" s="5" t="s">
        <v>12</v>
      </c>
      <c r="R45" s="5" t="s">
        <v>12</v>
      </c>
      <c r="S45" s="5" t="s">
        <v>12</v>
      </c>
      <c r="T45" s="82"/>
      <c r="U45" s="56"/>
      <c r="V45" s="5" t="s">
        <v>12</v>
      </c>
      <c r="W45" s="5" t="s">
        <v>12</v>
      </c>
      <c r="X45" s="5" t="s">
        <v>12</v>
      </c>
      <c r="Y45" s="5" t="s">
        <v>12</v>
      </c>
      <c r="AD45" s="5" t="s">
        <v>12</v>
      </c>
      <c r="AE45" s="5" t="s">
        <v>12</v>
      </c>
      <c r="AF45" s="5" t="s">
        <v>12</v>
      </c>
      <c r="AG45" s="5" t="s">
        <v>12</v>
      </c>
    </row>
    <row r="46" spans="1:35" ht="18" x14ac:dyDescent="0.35">
      <c r="A46" s="8">
        <v>44</v>
      </c>
      <c r="B46" s="150" t="s">
        <v>20</v>
      </c>
      <c r="C46" s="137" t="s">
        <v>1</v>
      </c>
      <c r="D46" s="137" t="s">
        <v>20</v>
      </c>
      <c r="E46" s="149" t="s">
        <v>0</v>
      </c>
      <c r="F46" s="1" t="s">
        <v>56</v>
      </c>
      <c r="G46" s="1" t="s">
        <v>1</v>
      </c>
      <c r="H46" s="1" t="s">
        <v>32</v>
      </c>
      <c r="I46" s="5" t="s">
        <v>12</v>
      </c>
      <c r="J46" s="5" t="s">
        <v>12</v>
      </c>
      <c r="K46" s="5" t="s">
        <v>12</v>
      </c>
      <c r="L46" s="12">
        <f>1.13E-22*$B$1^3.03*EXP(-11686/$B$1)</f>
        <v>1.0915743526016437E-24</v>
      </c>
      <c r="M46" s="139">
        <v>25</v>
      </c>
      <c r="N46" s="139"/>
      <c r="O46" s="138" t="s">
        <v>156</v>
      </c>
      <c r="P46" s="5" t="s">
        <v>12</v>
      </c>
      <c r="Q46" s="5" t="s">
        <v>12</v>
      </c>
      <c r="R46" s="5" t="s">
        <v>12</v>
      </c>
      <c r="S46" s="5" t="s">
        <v>12</v>
      </c>
      <c r="U46" s="56"/>
      <c r="V46" s="5" t="s">
        <v>12</v>
      </c>
      <c r="W46" s="5" t="s">
        <v>12</v>
      </c>
      <c r="X46" s="5" t="s">
        <v>12</v>
      </c>
      <c r="Y46" s="12">
        <f>1.21E-21*$B$1^2.82*EXP(-13200/$B$1)</f>
        <v>1.5184035096492782E-25</v>
      </c>
      <c r="Z46" s="139">
        <v>25</v>
      </c>
      <c r="AA46" s="139"/>
      <c r="AB46" s="15" t="s">
        <v>156</v>
      </c>
      <c r="AC46" s="31"/>
      <c r="AD46" s="5" t="s">
        <v>12</v>
      </c>
      <c r="AE46" s="5" t="s">
        <v>12</v>
      </c>
      <c r="AF46" s="5" t="s">
        <v>12</v>
      </c>
      <c r="AG46" s="5" t="s">
        <v>12</v>
      </c>
    </row>
    <row r="47" spans="1:35" ht="18" x14ac:dyDescent="0.35">
      <c r="A47" s="8">
        <v>45</v>
      </c>
      <c r="B47" s="150"/>
      <c r="C47" s="137"/>
      <c r="D47" s="137"/>
      <c r="E47" s="149"/>
      <c r="F47" s="1" t="s">
        <v>37</v>
      </c>
      <c r="G47" s="1" t="s">
        <v>1</v>
      </c>
      <c r="H47" s="1" t="s">
        <v>32</v>
      </c>
      <c r="I47" s="5" t="s">
        <v>12</v>
      </c>
      <c r="J47" s="5" t="s">
        <v>12</v>
      </c>
      <c r="K47" s="5" t="s">
        <v>12</v>
      </c>
      <c r="L47" s="12">
        <f>3.99E-23*$B$1^3.06*EXP(-11272/$B$1)</f>
        <v>1.0661046951803456E-24</v>
      </c>
      <c r="M47" s="139"/>
      <c r="N47" s="139"/>
      <c r="O47" s="138"/>
      <c r="P47" s="5" t="s">
        <v>12</v>
      </c>
      <c r="Q47" s="5" t="s">
        <v>12</v>
      </c>
      <c r="R47" s="5" t="s">
        <v>12</v>
      </c>
      <c r="S47" s="5" t="s">
        <v>12</v>
      </c>
      <c r="V47" s="5" t="s">
        <v>12</v>
      </c>
      <c r="W47" s="5" t="s">
        <v>12</v>
      </c>
      <c r="X47" s="5" t="s">
        <v>12</v>
      </c>
      <c r="Y47" s="5" t="s">
        <v>12</v>
      </c>
      <c r="AD47" s="5" t="s">
        <v>12</v>
      </c>
      <c r="AE47" s="5" t="s">
        <v>12</v>
      </c>
      <c r="AF47" s="5" t="s">
        <v>12</v>
      </c>
      <c r="AG47" s="5" t="s">
        <v>12</v>
      </c>
    </row>
    <row r="48" spans="1:35" x14ac:dyDescent="0.25">
      <c r="A48" s="8">
        <v>46</v>
      </c>
      <c r="B48" s="150" t="s">
        <v>20</v>
      </c>
      <c r="C48" s="137" t="s">
        <v>1</v>
      </c>
      <c r="D48" s="137" t="s">
        <v>24</v>
      </c>
      <c r="E48" s="149" t="s">
        <v>0</v>
      </c>
      <c r="F48" s="1" t="s">
        <v>13</v>
      </c>
      <c r="G48" s="1" t="s">
        <v>1</v>
      </c>
      <c r="H48" s="1" t="s">
        <v>25</v>
      </c>
      <c r="I48" s="5" t="s">
        <v>12</v>
      </c>
      <c r="J48" s="5" t="s">
        <v>12</v>
      </c>
      <c r="K48" s="5" t="s">
        <v>12</v>
      </c>
      <c r="L48" s="12">
        <f>0.00000000000000692*($B$1/298)^4.07*EXP(-1410/(8.314*$B$1))</f>
        <v>3.9851767024063602E-14</v>
      </c>
      <c r="M48" s="139">
        <v>26</v>
      </c>
      <c r="N48" s="139"/>
      <c r="O48" s="143" t="s">
        <v>267</v>
      </c>
      <c r="P48" s="5" t="s">
        <v>12</v>
      </c>
      <c r="Q48" s="5" t="s">
        <v>12</v>
      </c>
      <c r="R48" s="5" t="s">
        <v>12</v>
      </c>
      <c r="S48" s="5" t="s">
        <v>12</v>
      </c>
      <c r="U48" s="56"/>
      <c r="V48" s="53" t="s">
        <v>12</v>
      </c>
      <c r="W48" s="16" t="s">
        <v>12</v>
      </c>
      <c r="X48" s="16" t="s">
        <v>12</v>
      </c>
      <c r="Y48" s="5" t="s">
        <v>12</v>
      </c>
      <c r="AB48" s="50"/>
      <c r="AC48" s="31"/>
      <c r="AD48" s="5" t="s">
        <v>12</v>
      </c>
      <c r="AE48" s="5" t="s">
        <v>12</v>
      </c>
      <c r="AF48" s="5" t="s">
        <v>12</v>
      </c>
      <c r="AG48" s="5" t="s">
        <v>12</v>
      </c>
    </row>
    <row r="49" spans="1:35" ht="18" x14ac:dyDescent="0.35">
      <c r="A49" s="8">
        <v>47</v>
      </c>
      <c r="B49" s="150"/>
      <c r="C49" s="137"/>
      <c r="D49" s="137"/>
      <c r="E49" s="149"/>
      <c r="F49" s="1" t="s">
        <v>28</v>
      </c>
      <c r="G49" s="1" t="s">
        <v>1</v>
      </c>
      <c r="H49" s="1" t="s">
        <v>6</v>
      </c>
      <c r="I49" s="5" t="s">
        <v>12</v>
      </c>
      <c r="J49" s="5" t="s">
        <v>12</v>
      </c>
      <c r="K49" s="5" t="s">
        <v>12</v>
      </c>
      <c r="L49" s="12">
        <f>0.0000000000000000102*$B$1^2.01*EXP(-192.6/$B$1)</f>
        <v>1.8297111533586208E-12</v>
      </c>
      <c r="M49" s="139"/>
      <c r="N49" s="139"/>
      <c r="O49" s="143"/>
      <c r="P49" s="5" t="s">
        <v>12</v>
      </c>
      <c r="Q49" s="5" t="s">
        <v>12</v>
      </c>
      <c r="R49" s="5" t="s">
        <v>12</v>
      </c>
      <c r="S49" s="4">
        <f>0.000000000000676*($B$1/298)^1.39*EXP(-1470/(8.314*$B$1))</f>
        <v>9.6821308741389318E-13</v>
      </c>
      <c r="T49" s="87">
        <v>27</v>
      </c>
      <c r="U49" s="56" t="s">
        <v>197</v>
      </c>
      <c r="V49" s="53" t="s">
        <v>12</v>
      </c>
      <c r="W49" s="16" t="s">
        <v>12</v>
      </c>
      <c r="X49" s="16" t="s">
        <v>12</v>
      </c>
      <c r="Y49" s="18">
        <f>2.68E-18*$B$1^2.1*EXP(-577/$B$1)</f>
        <v>3.8864582575218766E-13</v>
      </c>
      <c r="Z49" s="139" t="s">
        <v>422</v>
      </c>
      <c r="AA49" s="139"/>
      <c r="AB49" s="15" t="s">
        <v>165</v>
      </c>
      <c r="AC49" s="31"/>
      <c r="AD49" s="5" t="s">
        <v>12</v>
      </c>
      <c r="AE49" s="5" t="s">
        <v>12</v>
      </c>
      <c r="AF49" s="5" t="s">
        <v>12</v>
      </c>
      <c r="AG49" s="4">
        <f>0.0000000000036*($B$1/298)*EXP(-9977/(8.314*$B$1))</f>
        <v>5.4106293671442318E-13</v>
      </c>
      <c r="AH49" s="81">
        <v>10</v>
      </c>
      <c r="AI49" s="9" t="s">
        <v>217</v>
      </c>
    </row>
    <row r="50" spans="1:35" ht="18" x14ac:dyDescent="0.35">
      <c r="A50" s="8">
        <v>48</v>
      </c>
      <c r="B50" s="1" t="s">
        <v>20</v>
      </c>
      <c r="C50" s="1" t="s">
        <v>1</v>
      </c>
      <c r="D50" s="1" t="s">
        <v>45</v>
      </c>
      <c r="E50" s="2" t="s">
        <v>0</v>
      </c>
      <c r="F50" s="1" t="s">
        <v>55</v>
      </c>
      <c r="G50" s="1" t="s">
        <v>1</v>
      </c>
      <c r="H50" s="1" t="s">
        <v>32</v>
      </c>
      <c r="I50" s="5" t="s">
        <v>12</v>
      </c>
      <c r="J50" s="5" t="s">
        <v>12</v>
      </c>
      <c r="K50" s="5" t="s">
        <v>12</v>
      </c>
      <c r="L50" s="12">
        <f>4.25E-23*$B$1^3.08*EXP(-25248/$B$1)</f>
        <v>8.4077763683133066E-37</v>
      </c>
      <c r="M50" s="139">
        <v>25</v>
      </c>
      <c r="N50" s="139"/>
      <c r="O50" s="20" t="s">
        <v>268</v>
      </c>
      <c r="P50" s="5" t="s">
        <v>12</v>
      </c>
      <c r="Q50" s="5" t="s">
        <v>12</v>
      </c>
      <c r="R50" s="5" t="s">
        <v>12</v>
      </c>
      <c r="S50" s="5" t="s">
        <v>12</v>
      </c>
      <c r="U50" s="56"/>
      <c r="V50" s="5" t="s">
        <v>12</v>
      </c>
      <c r="W50" s="5" t="s">
        <v>12</v>
      </c>
      <c r="X50" s="5" t="s">
        <v>12</v>
      </c>
      <c r="Y50" s="12">
        <f>5.62E-22*$B$1^2.75*EXP(-26100/$B$1)</f>
        <v>2.5888899348640852E-37</v>
      </c>
      <c r="Z50" s="139">
        <v>25</v>
      </c>
      <c r="AA50" s="139"/>
      <c r="AB50" s="15" t="s">
        <v>156</v>
      </c>
      <c r="AC50" s="31"/>
      <c r="AD50" s="5" t="s">
        <v>12</v>
      </c>
      <c r="AE50" s="5" t="s">
        <v>12</v>
      </c>
      <c r="AF50" s="5" t="s">
        <v>12</v>
      </c>
      <c r="AG50" s="5" t="s">
        <v>12</v>
      </c>
    </row>
    <row r="51" spans="1:35" ht="18" x14ac:dyDescent="0.35">
      <c r="A51" s="8">
        <v>49</v>
      </c>
      <c r="B51" s="1" t="s">
        <v>20</v>
      </c>
      <c r="C51" s="1" t="s">
        <v>1</v>
      </c>
      <c r="D51" s="1" t="s">
        <v>53</v>
      </c>
      <c r="E51" s="2" t="s">
        <v>0</v>
      </c>
      <c r="F51" s="1" t="s">
        <v>54</v>
      </c>
      <c r="G51" s="1" t="s">
        <v>1</v>
      </c>
      <c r="H51" s="1" t="s">
        <v>32</v>
      </c>
      <c r="I51" s="5" t="s">
        <v>12</v>
      </c>
      <c r="J51" s="5" t="s">
        <v>12</v>
      </c>
      <c r="K51" s="5" t="s">
        <v>12</v>
      </c>
      <c r="L51" s="12">
        <f>1.35E-22*$B$1^2.86*EXP(-1405/$B$1)</f>
        <v>4.167581781503618E-16</v>
      </c>
      <c r="M51" s="139"/>
      <c r="N51" s="139"/>
      <c r="O51" s="20" t="s">
        <v>269</v>
      </c>
      <c r="P51" s="5" t="s">
        <v>12</v>
      </c>
      <c r="Q51" s="5" t="s">
        <v>12</v>
      </c>
      <c r="R51" s="5" t="s">
        <v>12</v>
      </c>
      <c r="S51" s="5" t="s">
        <v>12</v>
      </c>
      <c r="U51" s="56"/>
      <c r="V51" s="5" t="s">
        <v>12</v>
      </c>
      <c r="W51" s="5" t="s">
        <v>12</v>
      </c>
      <c r="X51" s="5" t="s">
        <v>12</v>
      </c>
      <c r="Y51" s="5" t="s">
        <v>12</v>
      </c>
      <c r="AB51" s="47"/>
      <c r="AC51" s="31"/>
      <c r="AD51" s="5" t="s">
        <v>12</v>
      </c>
      <c r="AE51" s="5" t="s">
        <v>12</v>
      </c>
      <c r="AF51" s="5" t="s">
        <v>12</v>
      </c>
      <c r="AG51" s="5" t="s">
        <v>12</v>
      </c>
    </row>
    <row r="52" spans="1:35" ht="18" x14ac:dyDescent="0.35">
      <c r="A52" s="8">
        <v>50</v>
      </c>
      <c r="B52" s="1" t="s">
        <v>20</v>
      </c>
      <c r="C52" s="1" t="s">
        <v>1</v>
      </c>
      <c r="D52" s="1" t="s">
        <v>47</v>
      </c>
      <c r="E52" s="2" t="s">
        <v>0</v>
      </c>
      <c r="F52" s="1" t="s">
        <v>24</v>
      </c>
      <c r="G52" s="1" t="s">
        <v>1</v>
      </c>
      <c r="H52" s="1" t="s">
        <v>51</v>
      </c>
      <c r="I52" s="5" t="s">
        <v>12</v>
      </c>
      <c r="J52" s="5" t="s">
        <v>12</v>
      </c>
      <c r="K52" s="5" t="s">
        <v>12</v>
      </c>
      <c r="L52" s="12">
        <f>5.78E-22*$B$1^3.06*EXP(-3054/$B$1)</f>
        <v>2.255941447833624E-16</v>
      </c>
      <c r="M52" s="139"/>
      <c r="N52" s="139"/>
      <c r="O52" s="20" t="s">
        <v>156</v>
      </c>
      <c r="P52" s="5" t="s">
        <v>12</v>
      </c>
      <c r="Q52" s="5" t="s">
        <v>12</v>
      </c>
      <c r="R52" s="5" t="s">
        <v>12</v>
      </c>
      <c r="S52" s="5" t="s">
        <v>12</v>
      </c>
      <c r="U52" s="56"/>
      <c r="V52" s="5" t="s">
        <v>12</v>
      </c>
      <c r="W52" s="5" t="s">
        <v>12</v>
      </c>
      <c r="X52" s="5" t="s">
        <v>12</v>
      </c>
      <c r="Y52" s="5" t="s">
        <v>12</v>
      </c>
      <c r="AB52" s="46"/>
      <c r="AC52" s="31"/>
      <c r="AD52" s="5" t="s">
        <v>12</v>
      </c>
      <c r="AE52" s="5" t="s">
        <v>12</v>
      </c>
      <c r="AF52" s="5" t="s">
        <v>12</v>
      </c>
      <c r="AG52" s="5" t="s">
        <v>12</v>
      </c>
    </row>
    <row r="53" spans="1:35" ht="18" x14ac:dyDescent="0.35">
      <c r="A53" s="8">
        <v>51</v>
      </c>
      <c r="B53" s="1" t="s">
        <v>20</v>
      </c>
      <c r="C53" s="1" t="s">
        <v>1</v>
      </c>
      <c r="D53" s="1" t="s">
        <v>6</v>
      </c>
      <c r="E53" s="2" t="s">
        <v>0</v>
      </c>
      <c r="F53" s="1" t="s">
        <v>13</v>
      </c>
      <c r="G53" s="1" t="s">
        <v>1</v>
      </c>
      <c r="H53" s="1" t="s">
        <v>32</v>
      </c>
      <c r="I53" s="5" t="s">
        <v>12</v>
      </c>
      <c r="J53" s="5" t="s">
        <v>12</v>
      </c>
      <c r="K53" s="5" t="s">
        <v>12</v>
      </c>
      <c r="L53" s="12">
        <f>2.19E-24*$B$1^3.61*EXP(1351/$B$1)</f>
        <v>1.8019213501692458E-13</v>
      </c>
      <c r="M53" s="139">
        <v>28</v>
      </c>
      <c r="N53" s="139"/>
      <c r="O53" s="20" t="s">
        <v>157</v>
      </c>
      <c r="P53" s="5" t="s">
        <v>12</v>
      </c>
      <c r="Q53" s="5" t="s">
        <v>12</v>
      </c>
      <c r="R53" s="5" t="s">
        <v>12</v>
      </c>
      <c r="S53" s="4">
        <f>0.00000000000301*($B$1/298)*EXP(-4157/(8.314*$B$1))</f>
        <v>1.8441788080179481E-12</v>
      </c>
      <c r="T53" s="87">
        <v>20</v>
      </c>
      <c r="U53" s="57" t="s">
        <v>218</v>
      </c>
      <c r="V53" s="5" t="s">
        <v>12</v>
      </c>
      <c r="W53" s="5" t="s">
        <v>12</v>
      </c>
      <c r="X53" s="5" t="s">
        <v>12</v>
      </c>
      <c r="Y53" s="5" t="s">
        <v>12</v>
      </c>
      <c r="AB53" s="46"/>
      <c r="AC53" s="31"/>
      <c r="AD53" s="5" t="s">
        <v>12</v>
      </c>
      <c r="AE53" s="5" t="s">
        <v>12</v>
      </c>
      <c r="AF53" s="5" t="s">
        <v>12</v>
      </c>
      <c r="AG53" s="5" t="s">
        <v>12</v>
      </c>
    </row>
    <row r="54" spans="1:35" ht="18" x14ac:dyDescent="0.35">
      <c r="A54" s="8">
        <v>52</v>
      </c>
      <c r="B54" s="1" t="s">
        <v>20</v>
      </c>
      <c r="C54" s="1" t="s">
        <v>1</v>
      </c>
      <c r="D54" s="1" t="s">
        <v>7</v>
      </c>
      <c r="E54" s="2" t="s">
        <v>0</v>
      </c>
      <c r="F54" s="1" t="s">
        <v>13</v>
      </c>
      <c r="G54" s="1" t="s">
        <v>1</v>
      </c>
      <c r="H54" s="1" t="s">
        <v>57</v>
      </c>
      <c r="I54" s="5" t="s">
        <v>12</v>
      </c>
      <c r="J54" s="5" t="s">
        <v>12</v>
      </c>
      <c r="K54" s="5" t="s">
        <v>12</v>
      </c>
      <c r="L54" s="12">
        <f>1.47E-30*$B$1^5.35*EXP(3512/$B$1)</f>
        <v>4.5709577250110688E-13</v>
      </c>
      <c r="M54" s="139"/>
      <c r="N54" s="139"/>
      <c r="O54" s="20" t="s">
        <v>270</v>
      </c>
      <c r="P54" s="5" t="s">
        <v>12</v>
      </c>
      <c r="Q54" s="5" t="s">
        <v>12</v>
      </c>
      <c r="R54" s="5" t="s">
        <v>12</v>
      </c>
      <c r="S54" s="5" t="s">
        <v>12</v>
      </c>
      <c r="U54" s="56"/>
      <c r="V54" s="5" t="s">
        <v>12</v>
      </c>
      <c r="W54" s="5" t="s">
        <v>12</v>
      </c>
      <c r="X54" s="5" t="s">
        <v>12</v>
      </c>
      <c r="Y54" s="5" t="s">
        <v>12</v>
      </c>
      <c r="AB54" s="46"/>
      <c r="AC54" s="31"/>
      <c r="AD54" s="5" t="s">
        <v>12</v>
      </c>
      <c r="AE54" s="5" t="s">
        <v>12</v>
      </c>
      <c r="AF54" s="5" t="s">
        <v>12</v>
      </c>
      <c r="AG54" s="5" t="s">
        <v>12</v>
      </c>
    </row>
    <row r="55" spans="1:35" ht="18" x14ac:dyDescent="0.35">
      <c r="A55" s="8">
        <v>53</v>
      </c>
      <c r="B55" s="1" t="s">
        <v>20</v>
      </c>
      <c r="C55" s="1" t="s">
        <v>1</v>
      </c>
      <c r="D55" s="1" t="s">
        <v>14</v>
      </c>
      <c r="E55" s="2" t="s">
        <v>0</v>
      </c>
      <c r="F55" s="1" t="s">
        <v>13</v>
      </c>
      <c r="G55" s="1" t="s">
        <v>1</v>
      </c>
      <c r="H55" s="1" t="s">
        <v>6</v>
      </c>
      <c r="I55" s="5" t="s">
        <v>12</v>
      </c>
      <c r="J55" s="5" t="s">
        <v>12</v>
      </c>
      <c r="K55" s="5" t="s">
        <v>12</v>
      </c>
      <c r="L55" s="12">
        <f>0.000000000000000105*$B$1^1.46*EXP(-468.8/$B$1)</f>
        <v>3.5532713530156858E-13</v>
      </c>
      <c r="M55" s="139">
        <v>29</v>
      </c>
      <c r="N55" s="139"/>
      <c r="O55" s="20" t="s">
        <v>188</v>
      </c>
      <c r="P55" s="5" t="s">
        <v>12</v>
      </c>
      <c r="Q55" s="5" t="s">
        <v>12</v>
      </c>
      <c r="R55" s="5" t="s">
        <v>12</v>
      </c>
      <c r="S55" s="4">
        <f>5.5E-21*$B$1^2.9*EXP(-801/$B$1)</f>
        <v>7.317850331446459E-14</v>
      </c>
      <c r="T55" s="87" t="s">
        <v>425</v>
      </c>
      <c r="U55" s="56" t="s">
        <v>198</v>
      </c>
      <c r="V55" s="5" t="s">
        <v>12</v>
      </c>
      <c r="W55" s="5" t="s">
        <v>12</v>
      </c>
      <c r="X55" s="5" t="s">
        <v>12</v>
      </c>
      <c r="Y55" s="5" t="s">
        <v>12</v>
      </c>
      <c r="AB55" s="46"/>
      <c r="AC55" s="31"/>
      <c r="AD55" s="5" t="s">
        <v>12</v>
      </c>
      <c r="AE55" s="5" t="s">
        <v>12</v>
      </c>
      <c r="AF55" s="5" t="s">
        <v>12</v>
      </c>
      <c r="AG55" s="5" t="s">
        <v>12</v>
      </c>
    </row>
    <row r="56" spans="1:35" ht="18" x14ac:dyDescent="0.35">
      <c r="A56" s="8">
        <v>54</v>
      </c>
      <c r="B56" s="150" t="s">
        <v>20</v>
      </c>
      <c r="C56" s="137" t="s">
        <v>1</v>
      </c>
      <c r="D56" s="137" t="s">
        <v>29</v>
      </c>
      <c r="E56" s="149" t="s">
        <v>0</v>
      </c>
      <c r="F56" s="1" t="s">
        <v>13</v>
      </c>
      <c r="G56" s="1" t="s">
        <v>1</v>
      </c>
      <c r="H56" s="1" t="s">
        <v>31</v>
      </c>
      <c r="I56" s="5" t="s">
        <v>12</v>
      </c>
      <c r="J56" s="5" t="s">
        <v>12</v>
      </c>
      <c r="K56" s="5" t="s">
        <v>12</v>
      </c>
      <c r="L56" s="12">
        <f>7.31E-28*$B$1^4.89*EXP(-214.1/$B$1)</f>
        <v>7.3680559122672675E-15</v>
      </c>
      <c r="M56" s="139">
        <v>26</v>
      </c>
      <c r="N56" s="139"/>
      <c r="O56" s="143" t="s">
        <v>271</v>
      </c>
      <c r="P56" s="5" t="s">
        <v>12</v>
      </c>
      <c r="Q56" s="5" t="s">
        <v>12</v>
      </c>
      <c r="R56" s="5" t="s">
        <v>12</v>
      </c>
      <c r="S56" s="5" t="s">
        <v>12</v>
      </c>
      <c r="U56" s="56"/>
      <c r="V56" s="5" t="s">
        <v>12</v>
      </c>
      <c r="W56" s="5" t="s">
        <v>12</v>
      </c>
      <c r="X56" s="5" t="s">
        <v>12</v>
      </c>
      <c r="Y56" s="5" t="s">
        <v>12</v>
      </c>
      <c r="AB56" s="46"/>
      <c r="AC56" s="31"/>
      <c r="AD56" s="5" t="s">
        <v>12</v>
      </c>
      <c r="AE56" s="5" t="s">
        <v>12</v>
      </c>
      <c r="AF56" s="5" t="s">
        <v>12</v>
      </c>
      <c r="AG56" s="5" t="s">
        <v>12</v>
      </c>
    </row>
    <row r="57" spans="1:35" ht="18" x14ac:dyDescent="0.25">
      <c r="A57" s="8">
        <v>55</v>
      </c>
      <c r="B57" s="150"/>
      <c r="C57" s="137"/>
      <c r="D57" s="137"/>
      <c r="E57" s="149"/>
      <c r="F57" s="1" t="s">
        <v>25</v>
      </c>
      <c r="G57" s="1" t="s">
        <v>1</v>
      </c>
      <c r="H57" s="1" t="s">
        <v>6</v>
      </c>
      <c r="I57" s="5" t="s">
        <v>12</v>
      </c>
      <c r="J57" s="5" t="s">
        <v>12</v>
      </c>
      <c r="K57" s="5" t="s">
        <v>12</v>
      </c>
      <c r="L57" s="12">
        <f>0.00000000000000527*$B$1^1.2*EXP(-187.3/$B$1)</f>
        <v>6.2424042212413763E-12</v>
      </c>
      <c r="M57" s="139"/>
      <c r="N57" s="139"/>
      <c r="O57" s="143"/>
      <c r="P57" s="5" t="s">
        <v>12</v>
      </c>
      <c r="Q57" s="5" t="s">
        <v>12</v>
      </c>
      <c r="R57" s="5" t="s">
        <v>12</v>
      </c>
      <c r="S57" s="12">
        <f>0.000000000000000101*$B$1^1.96*EXP(-212/$B$1)</f>
        <v>1.277387099785273E-11</v>
      </c>
      <c r="T57" s="87" t="s">
        <v>425</v>
      </c>
      <c r="U57" s="58" t="s">
        <v>199</v>
      </c>
      <c r="V57" s="5" t="s">
        <v>12</v>
      </c>
      <c r="W57" s="5" t="s">
        <v>12</v>
      </c>
      <c r="X57" s="5" t="s">
        <v>12</v>
      </c>
      <c r="Y57" s="5" t="s">
        <v>12</v>
      </c>
      <c r="AD57" s="5" t="s">
        <v>12</v>
      </c>
      <c r="AE57" s="5" t="s">
        <v>12</v>
      </c>
      <c r="AF57" s="5" t="s">
        <v>12</v>
      </c>
      <c r="AG57" s="5" t="s">
        <v>12</v>
      </c>
    </row>
    <row r="58" spans="1:35" ht="18" x14ac:dyDescent="0.35">
      <c r="A58" s="8">
        <v>56</v>
      </c>
      <c r="B58" s="1" t="s">
        <v>37</v>
      </c>
      <c r="C58" s="1" t="s">
        <v>1</v>
      </c>
      <c r="D58" s="1" t="s">
        <v>24</v>
      </c>
      <c r="E58" s="2" t="s">
        <v>0</v>
      </c>
      <c r="F58" s="1" t="s">
        <v>13</v>
      </c>
      <c r="G58" s="1" t="s">
        <v>1</v>
      </c>
      <c r="H58" s="1" t="s">
        <v>28</v>
      </c>
      <c r="I58" s="5" t="s">
        <v>12</v>
      </c>
      <c r="J58" s="5" t="s">
        <v>12</v>
      </c>
      <c r="K58" s="5" t="s">
        <v>12</v>
      </c>
      <c r="L58" s="4">
        <f>0.000000000062*($B$1/298)*EXP(-1081/(8.314*$B$1))</f>
        <v>7.9832692510965763E-11</v>
      </c>
      <c r="M58" s="139">
        <v>10</v>
      </c>
      <c r="N58" s="139"/>
      <c r="O58" s="9" t="s">
        <v>272</v>
      </c>
      <c r="P58" s="5" t="s">
        <v>12</v>
      </c>
      <c r="Q58" s="5" t="s">
        <v>12</v>
      </c>
      <c r="R58" s="5" t="s">
        <v>12</v>
      </c>
      <c r="S58" s="5" t="s">
        <v>12</v>
      </c>
      <c r="U58" s="58"/>
      <c r="V58" s="5" t="s">
        <v>12</v>
      </c>
      <c r="W58" s="5" t="s">
        <v>12</v>
      </c>
      <c r="X58" s="5" t="s">
        <v>12</v>
      </c>
      <c r="Y58" s="5" t="s">
        <v>12</v>
      </c>
      <c r="AD58" s="5" t="s">
        <v>12</v>
      </c>
      <c r="AE58" s="5" t="s">
        <v>12</v>
      </c>
      <c r="AF58" s="5" t="s">
        <v>12</v>
      </c>
      <c r="AG58" s="5" t="s">
        <v>12</v>
      </c>
    </row>
    <row r="59" spans="1:35" ht="18" x14ac:dyDescent="0.35">
      <c r="A59" s="8">
        <v>57</v>
      </c>
      <c r="B59" s="1" t="s">
        <v>37</v>
      </c>
      <c r="C59" s="1" t="s">
        <v>1</v>
      </c>
      <c r="D59" s="1" t="s">
        <v>44</v>
      </c>
      <c r="E59" s="2" t="s">
        <v>0</v>
      </c>
      <c r="F59" s="1" t="s">
        <v>13</v>
      </c>
      <c r="G59" s="1" t="s">
        <v>1</v>
      </c>
      <c r="H59" s="1" t="s">
        <v>55</v>
      </c>
      <c r="I59" s="5" t="s">
        <v>12</v>
      </c>
      <c r="J59" s="5" t="s">
        <v>12</v>
      </c>
      <c r="K59" s="5" t="s">
        <v>12</v>
      </c>
      <c r="L59" s="4">
        <f>0.0000000000000722*($B$1/298)*EXP(-48560/(8.314*$B$1))</f>
        <v>9.7640279754883418E-19</v>
      </c>
      <c r="M59" s="139">
        <v>30</v>
      </c>
      <c r="N59" s="139"/>
      <c r="O59" s="9" t="s">
        <v>141</v>
      </c>
      <c r="P59" s="5" t="s">
        <v>12</v>
      </c>
      <c r="Q59" s="5" t="s">
        <v>12</v>
      </c>
      <c r="R59" s="5" t="s">
        <v>12</v>
      </c>
      <c r="S59" s="5" t="s">
        <v>12</v>
      </c>
      <c r="U59" s="58"/>
      <c r="V59" s="5" t="s">
        <v>12</v>
      </c>
      <c r="W59" s="5" t="s">
        <v>12</v>
      </c>
      <c r="X59" s="5" t="s">
        <v>12</v>
      </c>
      <c r="Y59" s="5" t="s">
        <v>12</v>
      </c>
      <c r="AD59" s="5" t="s">
        <v>12</v>
      </c>
      <c r="AE59" s="5" t="s">
        <v>12</v>
      </c>
      <c r="AF59" s="5" t="s">
        <v>12</v>
      </c>
      <c r="AG59" s="5" t="s">
        <v>12</v>
      </c>
    </row>
    <row r="60" spans="1:35" ht="18" x14ac:dyDescent="0.35">
      <c r="A60" s="8">
        <v>58</v>
      </c>
      <c r="B60" s="1" t="s">
        <v>37</v>
      </c>
      <c r="C60" s="1" t="s">
        <v>1</v>
      </c>
      <c r="D60" s="1" t="s">
        <v>14</v>
      </c>
      <c r="E60" s="2" t="s">
        <v>0</v>
      </c>
      <c r="F60" s="1" t="s">
        <v>13</v>
      </c>
      <c r="G60" s="1" t="s">
        <v>1</v>
      </c>
      <c r="H60" s="1" t="s">
        <v>13</v>
      </c>
      <c r="I60" s="5" t="s">
        <v>12</v>
      </c>
      <c r="J60" s="5" t="s">
        <v>12</v>
      </c>
      <c r="K60" s="5" t="s">
        <v>12</v>
      </c>
      <c r="L60" s="4">
        <f>0.000000000027*($B$1/298)*EXP(-4407/(8.314*$B$1))</f>
        <v>1.5573457281932582E-11</v>
      </c>
      <c r="M60" s="139">
        <v>10</v>
      </c>
      <c r="N60" s="139"/>
      <c r="O60" s="9" t="s">
        <v>272</v>
      </c>
      <c r="P60" s="5" t="s">
        <v>12</v>
      </c>
      <c r="Q60" s="5" t="s">
        <v>12</v>
      </c>
      <c r="R60" s="5" t="s">
        <v>12</v>
      </c>
      <c r="S60" s="5" t="s">
        <v>12</v>
      </c>
      <c r="U60" s="58"/>
      <c r="V60" s="5" t="s">
        <v>12</v>
      </c>
      <c r="W60" s="5" t="s">
        <v>12</v>
      </c>
      <c r="X60" s="5" t="s">
        <v>12</v>
      </c>
      <c r="Y60" s="5" t="s">
        <v>12</v>
      </c>
      <c r="AD60" s="5" t="s">
        <v>12</v>
      </c>
      <c r="AE60" s="5" t="s">
        <v>12</v>
      </c>
      <c r="AF60" s="5" t="s">
        <v>12</v>
      </c>
      <c r="AG60" s="5" t="s">
        <v>12</v>
      </c>
    </row>
    <row r="61" spans="1:35" ht="15" customHeight="1" x14ac:dyDescent="0.25">
      <c r="A61" s="8">
        <v>59</v>
      </c>
      <c r="B61" s="150" t="s">
        <v>13</v>
      </c>
      <c r="C61" s="137" t="s">
        <v>1</v>
      </c>
      <c r="D61" s="137" t="s">
        <v>5</v>
      </c>
      <c r="E61" s="149" t="s">
        <v>0</v>
      </c>
      <c r="F61" s="1" t="s">
        <v>27</v>
      </c>
      <c r="G61" s="1" t="s">
        <v>1</v>
      </c>
      <c r="H61" s="1" t="s">
        <v>13</v>
      </c>
      <c r="I61" s="5" t="s">
        <v>12</v>
      </c>
      <c r="J61" s="5" t="s">
        <v>12</v>
      </c>
      <c r="K61" s="5" t="s">
        <v>12</v>
      </c>
      <c r="L61" s="4">
        <f>1.03E-22*$B$1^2.76*EXP(-78/$B$1)</f>
        <v>2.4521647857060778E-15</v>
      </c>
      <c r="M61" s="139">
        <v>31</v>
      </c>
      <c r="N61" s="139"/>
      <c r="O61" s="143" t="s">
        <v>255</v>
      </c>
      <c r="P61" s="5" t="s">
        <v>12</v>
      </c>
      <c r="Q61" s="5" t="s">
        <v>12</v>
      </c>
      <c r="R61" s="5" t="s">
        <v>12</v>
      </c>
      <c r="S61" s="5" t="s">
        <v>12</v>
      </c>
      <c r="V61" s="5" t="s">
        <v>12</v>
      </c>
      <c r="W61" s="5" t="s">
        <v>12</v>
      </c>
      <c r="X61" s="5" t="s">
        <v>12</v>
      </c>
      <c r="Y61" s="5" t="s">
        <v>12</v>
      </c>
      <c r="AD61" s="5" t="s">
        <v>12</v>
      </c>
      <c r="AE61" s="5" t="s">
        <v>12</v>
      </c>
      <c r="AF61" s="5" t="s">
        <v>12</v>
      </c>
      <c r="AG61" s="5" t="s">
        <v>12</v>
      </c>
    </row>
    <row r="62" spans="1:35" ht="18.75" x14ac:dyDescent="0.35">
      <c r="A62" s="8">
        <v>60</v>
      </c>
      <c r="B62" s="150"/>
      <c r="C62" s="137"/>
      <c r="D62" s="137"/>
      <c r="E62" s="149"/>
      <c r="F62" s="1" t="s">
        <v>37</v>
      </c>
      <c r="G62" s="1" t="s">
        <v>1</v>
      </c>
      <c r="H62" s="1" t="s">
        <v>64</v>
      </c>
      <c r="I62" s="5" t="s">
        <v>12</v>
      </c>
      <c r="J62" s="5" t="s">
        <v>12</v>
      </c>
      <c r="K62" s="5" t="s">
        <v>12</v>
      </c>
      <c r="L62" s="4">
        <f>9.63E-22*$B$1^2.4*EXP(-1665/$B$1)</f>
        <v>1.0132559699818683E-16</v>
      </c>
      <c r="M62" s="139"/>
      <c r="N62" s="139"/>
      <c r="O62" s="143"/>
      <c r="P62" s="5" t="s">
        <v>12</v>
      </c>
      <c r="Q62" s="5" t="s">
        <v>12</v>
      </c>
      <c r="R62" s="5" t="s">
        <v>12</v>
      </c>
      <c r="S62" s="5" t="s">
        <v>12</v>
      </c>
      <c r="V62" s="5" t="s">
        <v>12</v>
      </c>
      <c r="W62" s="5" t="s">
        <v>12</v>
      </c>
      <c r="X62" s="5" t="s">
        <v>12</v>
      </c>
      <c r="Y62" s="5" t="s">
        <v>12</v>
      </c>
      <c r="AD62" s="5" t="s">
        <v>12</v>
      </c>
      <c r="AE62" s="5" t="s">
        <v>12</v>
      </c>
      <c r="AF62" s="5" t="s">
        <v>12</v>
      </c>
      <c r="AG62" s="5" t="s">
        <v>12</v>
      </c>
    </row>
    <row r="63" spans="1:35" ht="18" x14ac:dyDescent="0.35">
      <c r="A63" s="8">
        <v>61</v>
      </c>
      <c r="B63" s="150"/>
      <c r="C63" s="137"/>
      <c r="D63" s="137"/>
      <c r="E63" s="149"/>
      <c r="F63" s="1" t="s">
        <v>63</v>
      </c>
      <c r="G63" s="1"/>
      <c r="H63" s="1"/>
      <c r="I63" s="4">
        <f>0.000000000000000011*$B$1^-5.5*EXP(-3309/$B$1)</f>
        <v>2.0944846153381238E-35</v>
      </c>
      <c r="J63" s="5" t="s">
        <v>12</v>
      </c>
      <c r="K63" s="4">
        <f>0.000000000298</f>
        <v>2.98E-10</v>
      </c>
      <c r="L63" s="5" t="s">
        <v>12</v>
      </c>
      <c r="M63" s="139"/>
      <c r="N63" s="139"/>
      <c r="O63" s="24" t="s">
        <v>273</v>
      </c>
      <c r="P63" s="5" t="s">
        <v>12</v>
      </c>
      <c r="Q63" s="5" t="s">
        <v>12</v>
      </c>
      <c r="R63" s="5" t="s">
        <v>12</v>
      </c>
      <c r="S63" s="4">
        <v>2.4000000000000001E-11</v>
      </c>
      <c r="T63" s="139">
        <v>10</v>
      </c>
      <c r="U63" s="57" t="s">
        <v>218</v>
      </c>
      <c r="V63" s="5" t="s">
        <v>12</v>
      </c>
      <c r="W63" s="5" t="s">
        <v>12</v>
      </c>
      <c r="X63" s="5" t="s">
        <v>12</v>
      </c>
      <c r="Y63" s="12">
        <f>0.00000000014*($B$1/298)*EXP(31700/(8.314*$B$1))</f>
        <v>4.9359055648448587E-7</v>
      </c>
      <c r="Z63" s="147">
        <v>10</v>
      </c>
      <c r="AA63" s="147"/>
      <c r="AB63" s="22" t="s">
        <v>220</v>
      </c>
      <c r="AC63" s="73"/>
      <c r="AD63" s="5" t="s">
        <v>12</v>
      </c>
      <c r="AE63" s="5" t="s">
        <v>12</v>
      </c>
      <c r="AF63" s="5" t="s">
        <v>12</v>
      </c>
      <c r="AG63" s="5" t="s">
        <v>12</v>
      </c>
    </row>
    <row r="64" spans="1:35" ht="18" x14ac:dyDescent="0.35">
      <c r="A64" s="8">
        <v>62</v>
      </c>
      <c r="B64" s="150" t="s">
        <v>13</v>
      </c>
      <c r="C64" s="137" t="s">
        <v>1</v>
      </c>
      <c r="D64" s="137" t="s">
        <v>13</v>
      </c>
      <c r="E64" s="149" t="s">
        <v>0</v>
      </c>
      <c r="F64" s="1" t="s">
        <v>28</v>
      </c>
      <c r="G64" s="1" t="s">
        <v>1</v>
      </c>
      <c r="H64" s="1" t="s">
        <v>23</v>
      </c>
      <c r="I64" s="5" t="s">
        <v>12</v>
      </c>
      <c r="J64" s="5" t="s">
        <v>12</v>
      </c>
      <c r="K64" s="5" t="s">
        <v>12</v>
      </c>
      <c r="L64" s="4">
        <f>0.000000000000109*$B$1^0.66*EXP(-1892/$B$1)</f>
        <v>1.473027367860335E-13</v>
      </c>
      <c r="M64" s="139">
        <v>32</v>
      </c>
      <c r="N64" s="139"/>
      <c r="O64" s="138" t="s">
        <v>274</v>
      </c>
      <c r="P64" s="5" t="s">
        <v>12</v>
      </c>
      <c r="Q64" s="5" t="s">
        <v>12</v>
      </c>
      <c r="R64" s="5" t="s">
        <v>12</v>
      </c>
      <c r="S64" s="4">
        <f>0.000000000001*($B$1/298)*EXP(-13200/(8.314*$B$1))</f>
        <v>6.9020508723639327E-14</v>
      </c>
      <c r="T64" s="139"/>
      <c r="U64" s="152" t="s">
        <v>221</v>
      </c>
      <c r="V64" s="5" t="s">
        <v>12</v>
      </c>
      <c r="W64" s="5" t="s">
        <v>12</v>
      </c>
      <c r="X64" s="5" t="s">
        <v>12</v>
      </c>
      <c r="Y64" s="5" t="s">
        <v>12</v>
      </c>
      <c r="AD64" s="5" t="s">
        <v>12</v>
      </c>
      <c r="AE64" s="5" t="s">
        <v>12</v>
      </c>
      <c r="AF64" s="5" t="s">
        <v>12</v>
      </c>
      <c r="AG64" s="5" t="s">
        <v>12</v>
      </c>
    </row>
    <row r="65" spans="1:35" x14ac:dyDescent="0.25">
      <c r="A65" s="8">
        <v>63</v>
      </c>
      <c r="B65" s="150"/>
      <c r="C65" s="137"/>
      <c r="D65" s="137"/>
      <c r="E65" s="149"/>
      <c r="F65" s="1" t="s">
        <v>27</v>
      </c>
      <c r="G65" s="1" t="s">
        <v>1</v>
      </c>
      <c r="H65" s="1" t="s">
        <v>24</v>
      </c>
      <c r="I65" s="5" t="s">
        <v>12</v>
      </c>
      <c r="J65" s="5" t="s">
        <v>12</v>
      </c>
      <c r="K65" s="5" t="s">
        <v>12</v>
      </c>
      <c r="L65" s="4">
        <f>0.000000000000136*$B$1^0.77*EXP(-2168/$B$1)</f>
        <v>2.0912790648963074E-13</v>
      </c>
      <c r="M65" s="139"/>
      <c r="N65" s="139"/>
      <c r="O65" s="138"/>
      <c r="P65" s="5" t="s">
        <v>12</v>
      </c>
      <c r="Q65" s="5" t="s">
        <v>12</v>
      </c>
      <c r="R65" s="5" t="s">
        <v>12</v>
      </c>
      <c r="S65" s="4">
        <f>0.00000000003*($B$1/298)*EXP(-20400/(8.314*$B$1))</f>
        <v>3.6399878165395834E-13</v>
      </c>
      <c r="T65" s="139"/>
      <c r="U65" s="152"/>
      <c r="V65" s="5" t="s">
        <v>12</v>
      </c>
      <c r="W65" s="5" t="s">
        <v>12</v>
      </c>
      <c r="X65" s="5" t="s">
        <v>12</v>
      </c>
      <c r="Y65" s="12">
        <f>0.00000000037*($B$1/298)*EXP(-25110/(8.314*$B$1))</f>
        <v>1.4397427681807251E-12</v>
      </c>
      <c r="Z65" s="139">
        <v>33</v>
      </c>
      <c r="AA65" s="139"/>
      <c r="AB65" s="22" t="s">
        <v>193</v>
      </c>
      <c r="AC65" s="73"/>
      <c r="AD65" s="5" t="s">
        <v>12</v>
      </c>
      <c r="AE65" s="5" t="s">
        <v>12</v>
      </c>
      <c r="AF65" s="5" t="s">
        <v>12</v>
      </c>
      <c r="AG65" s="5" t="s">
        <v>12</v>
      </c>
    </row>
    <row r="66" spans="1:35" x14ac:dyDescent="0.25">
      <c r="A66" s="8">
        <v>64</v>
      </c>
      <c r="B66" s="150"/>
      <c r="C66" s="137"/>
      <c r="D66" s="137"/>
      <c r="E66" s="149"/>
      <c r="F66" s="1" t="s">
        <v>5</v>
      </c>
      <c r="G66" s="1" t="s">
        <v>1</v>
      </c>
      <c r="H66" s="1" t="s">
        <v>24</v>
      </c>
      <c r="I66" s="5" t="s">
        <v>12</v>
      </c>
      <c r="J66" s="5" t="s">
        <v>12</v>
      </c>
      <c r="K66" s="5" t="s">
        <v>12</v>
      </c>
      <c r="L66" s="4">
        <f>0.0000000000626*$B$1^0.005*EXP(-2896/$B$1)</f>
        <v>1.928793909719473E-13</v>
      </c>
      <c r="M66" s="139"/>
      <c r="N66" s="139"/>
      <c r="O66" s="19" t="s">
        <v>275</v>
      </c>
      <c r="P66" s="5" t="s">
        <v>12</v>
      </c>
      <c r="Q66" s="5" t="s">
        <v>12</v>
      </c>
      <c r="R66" s="5" t="s">
        <v>12</v>
      </c>
      <c r="S66" s="4">
        <f>0.00000000000035*($B$1/298)*EXP(-11400/(8.314*$B$1))</f>
        <v>3.7307493372416933E-14</v>
      </c>
      <c r="T66" s="139"/>
      <c r="U66" s="152"/>
      <c r="V66" s="5" t="s">
        <v>12</v>
      </c>
      <c r="W66" s="5" t="s">
        <v>12</v>
      </c>
      <c r="X66" s="5" t="s">
        <v>12</v>
      </c>
      <c r="Y66" s="12">
        <f>0.000000000032*EXP(170/$B$1)</f>
        <v>4.5015126362921145E-11</v>
      </c>
      <c r="Z66" s="147">
        <v>10</v>
      </c>
      <c r="AA66" s="147"/>
      <c r="AB66" s="22" t="s">
        <v>222</v>
      </c>
      <c r="AC66" s="73"/>
      <c r="AD66" s="5" t="s">
        <v>12</v>
      </c>
      <c r="AE66" s="5" t="s">
        <v>12</v>
      </c>
      <c r="AF66" s="5" t="s">
        <v>12</v>
      </c>
      <c r="AG66" s="5" t="s">
        <v>12</v>
      </c>
    </row>
    <row r="67" spans="1:35" x14ac:dyDescent="0.25">
      <c r="A67" s="8">
        <v>65</v>
      </c>
      <c r="B67" s="150"/>
      <c r="C67" s="137"/>
      <c r="D67" s="137"/>
      <c r="E67" s="149"/>
      <c r="F67" s="1" t="s">
        <v>59</v>
      </c>
      <c r="G67" s="1"/>
      <c r="H67" s="1"/>
      <c r="I67" s="4">
        <f>8.31E-20*$B$1^-4.96*EXP(-336/$B$1)</f>
        <v>1.7691514961680009E-33</v>
      </c>
      <c r="J67" s="5" t="s">
        <v>12</v>
      </c>
      <c r="K67" s="4">
        <f>0.0000000016*$B$1^-0.67*EXP(-64/$B$1)</f>
        <v>2.1932722965413421E-11</v>
      </c>
      <c r="L67" s="5" t="s">
        <v>12</v>
      </c>
      <c r="M67" s="139"/>
      <c r="N67" s="139"/>
      <c r="O67" s="143" t="s">
        <v>276</v>
      </c>
      <c r="P67" s="5" t="s">
        <v>12</v>
      </c>
      <c r="Q67" s="5" t="s">
        <v>12</v>
      </c>
      <c r="R67" s="5" t="s">
        <v>12</v>
      </c>
      <c r="S67" s="5" t="s">
        <v>12</v>
      </c>
      <c r="U67" s="57"/>
      <c r="V67" s="4">
        <f>464000000*$B$1^-5.2*EXP(-10159/$B$1)</f>
        <v>6.0740724165756835E-15</v>
      </c>
      <c r="W67" s="5" t="s">
        <v>12</v>
      </c>
      <c r="X67" s="4">
        <f>63000000000000000000*$B$1^-1.32*EXP(-9999/$B$1)</f>
        <v>33231519.923289087</v>
      </c>
      <c r="Y67" s="5" t="s">
        <v>12</v>
      </c>
      <c r="Z67" s="139">
        <v>1</v>
      </c>
      <c r="AA67" s="139"/>
      <c r="AB67" s="153" t="s">
        <v>187</v>
      </c>
      <c r="AC67" s="73"/>
      <c r="AD67" s="25">
        <f>0.00000037*($B$1/298)*EXP(-63900/(8.314*$B$1))</f>
        <v>1.2323248425379736E-13</v>
      </c>
      <c r="AE67" s="14" t="s">
        <v>12</v>
      </c>
      <c r="AF67" s="14" t="s">
        <v>12</v>
      </c>
      <c r="AG67" s="14" t="s">
        <v>12</v>
      </c>
      <c r="AH67" s="81">
        <v>10</v>
      </c>
      <c r="AI67" s="52" t="s">
        <v>220</v>
      </c>
    </row>
    <row r="68" spans="1:35" x14ac:dyDescent="0.25">
      <c r="A68" s="8">
        <v>66</v>
      </c>
      <c r="B68" s="150"/>
      <c r="C68" s="137"/>
      <c r="D68" s="137"/>
      <c r="E68" s="149"/>
      <c r="F68" s="1" t="s">
        <v>60</v>
      </c>
      <c r="G68" s="1"/>
      <c r="H68" s="1"/>
      <c r="I68" s="4">
        <f>0.0000000000000172*$B$1^-6.99*EXP(-926/$B$1)</f>
        <v>3.7469742948656955E-34</v>
      </c>
      <c r="J68" s="5" t="s">
        <v>12</v>
      </c>
      <c r="K68" s="4">
        <f>0.0000000064*$B$1^-0.78*EXP(-76/$B$1)</f>
        <v>4.3249506213207074E-11</v>
      </c>
      <c r="L68" s="5" t="s">
        <v>12</v>
      </c>
      <c r="M68" s="139"/>
      <c r="N68" s="139"/>
      <c r="O68" s="143"/>
      <c r="P68" s="5" t="s">
        <v>12</v>
      </c>
      <c r="Q68" s="5" t="s">
        <v>12</v>
      </c>
      <c r="R68" s="5" t="s">
        <v>12</v>
      </c>
      <c r="S68" s="5" t="s">
        <v>12</v>
      </c>
      <c r="V68" s="4">
        <f>6810000*$B$1^-4.9*EXP(-6488/$B$1)</f>
        <v>9.1148351927935024E-13</v>
      </c>
      <c r="W68" s="5" t="s">
        <v>12</v>
      </c>
      <c r="X68" s="4">
        <f>599000000000000000000*$B$1^-1.63*EXP(-6474/$B$1)</f>
        <v>54525741058.854965</v>
      </c>
      <c r="Y68" s="5" t="s">
        <v>12</v>
      </c>
      <c r="Z68" s="139"/>
      <c r="AA68" s="139"/>
      <c r="AB68" s="153"/>
      <c r="AC68" s="73"/>
      <c r="AD68" s="5" t="s">
        <v>12</v>
      </c>
      <c r="AE68" s="5" t="s">
        <v>12</v>
      </c>
      <c r="AF68" s="5" t="s">
        <v>12</v>
      </c>
      <c r="AG68" s="5" t="s">
        <v>12</v>
      </c>
    </row>
    <row r="69" spans="1:35" ht="18" x14ac:dyDescent="0.35">
      <c r="A69" s="8">
        <v>67</v>
      </c>
      <c r="B69" s="1" t="s">
        <v>13</v>
      </c>
      <c r="C69" s="1" t="s">
        <v>1</v>
      </c>
      <c r="D69" s="1" t="s">
        <v>20</v>
      </c>
      <c r="E69" s="2" t="s">
        <v>0</v>
      </c>
      <c r="F69" s="1" t="s">
        <v>37</v>
      </c>
      <c r="G69" s="1" t="s">
        <v>1</v>
      </c>
      <c r="H69" s="1" t="s">
        <v>6</v>
      </c>
      <c r="I69" s="5" t="s">
        <v>12</v>
      </c>
      <c r="J69" s="5" t="s">
        <v>12</v>
      </c>
      <c r="K69" s="5" t="s">
        <v>12</v>
      </c>
      <c r="L69" s="4">
        <f>0.0000000000000000229*$B$1^1.77*EXP(-9386/$B$1)</f>
        <v>8.9394407836256691E-21</v>
      </c>
      <c r="M69" s="139">
        <v>4</v>
      </c>
      <c r="N69" s="139"/>
      <c r="O69" s="9" t="s">
        <v>157</v>
      </c>
      <c r="P69" s="5" t="s">
        <v>12</v>
      </c>
      <c r="Q69" s="5" t="s">
        <v>12</v>
      </c>
      <c r="R69" s="5" t="s">
        <v>12</v>
      </c>
      <c r="S69" s="5" t="s">
        <v>12</v>
      </c>
      <c r="V69" s="5" t="s">
        <v>12</v>
      </c>
      <c r="W69" s="5" t="s">
        <v>12</v>
      </c>
      <c r="X69" s="5" t="s">
        <v>12</v>
      </c>
      <c r="Y69" s="12">
        <f>0.000000000000000646*$B$1^1.39*EXP(-415/$B$1)</f>
        <v>1.5767397402486625E-12</v>
      </c>
      <c r="Z69" s="147">
        <v>4</v>
      </c>
      <c r="AA69" s="147"/>
      <c r="AB69" s="15" t="s">
        <v>157</v>
      </c>
      <c r="AD69" s="5" t="s">
        <v>12</v>
      </c>
      <c r="AE69" s="5" t="s">
        <v>12</v>
      </c>
      <c r="AF69" s="5" t="s">
        <v>12</v>
      </c>
      <c r="AG69" s="4">
        <f>0.0000000000051*EXP(100/$B$1)</f>
        <v>6.2337824780486961E-12</v>
      </c>
      <c r="AH69" s="81" t="s">
        <v>397</v>
      </c>
      <c r="AI69" s="52" t="s">
        <v>148</v>
      </c>
    </row>
    <row r="70" spans="1:35" ht="18.75" x14ac:dyDescent="0.35">
      <c r="A70" s="8">
        <v>68</v>
      </c>
      <c r="B70" s="150" t="s">
        <v>13</v>
      </c>
      <c r="C70" s="137" t="s">
        <v>1</v>
      </c>
      <c r="D70" s="137" t="s">
        <v>24</v>
      </c>
      <c r="E70" s="149" t="s">
        <v>0</v>
      </c>
      <c r="F70" s="1" t="s">
        <v>28</v>
      </c>
      <c r="G70" s="1" t="s">
        <v>1</v>
      </c>
      <c r="H70" s="1" t="s">
        <v>4</v>
      </c>
      <c r="I70" s="5" t="s">
        <v>12</v>
      </c>
      <c r="J70" s="5" t="s">
        <v>12</v>
      </c>
      <c r="K70" s="5" t="s">
        <v>12</v>
      </c>
      <c r="L70" s="4">
        <f>0.0000000000000222*$B$1^0.997*EXP(-4761/$B$1)</f>
        <v>7.672048615956778E-16</v>
      </c>
      <c r="M70" s="139" t="s">
        <v>432</v>
      </c>
      <c r="N70" s="139"/>
      <c r="O70" s="24" t="s">
        <v>277</v>
      </c>
      <c r="P70" s="5" t="s">
        <v>12</v>
      </c>
      <c r="Q70" s="5" t="s">
        <v>12</v>
      </c>
      <c r="R70" s="4">
        <f>0.00000000000174*($B$1/298)*EXP(-38200/(8.314*$B$1))</f>
        <v>2.8707900324016211E-16</v>
      </c>
      <c r="S70" s="5" t="s">
        <v>12</v>
      </c>
      <c r="T70" s="92">
        <v>24</v>
      </c>
      <c r="U70" s="55" t="s">
        <v>223</v>
      </c>
      <c r="V70" s="5" t="s">
        <v>12</v>
      </c>
      <c r="W70" s="5" t="s">
        <v>12</v>
      </c>
      <c r="X70" s="5" t="s">
        <v>12</v>
      </c>
      <c r="Y70" s="4">
        <f>0.0000000000000325*$B$1^0.976*EXP(-1803/$B$1)</f>
        <v>3.7378768411200634E-13</v>
      </c>
      <c r="Z70" s="139">
        <v>34</v>
      </c>
      <c r="AA70" s="139"/>
      <c r="AB70" s="15" t="s">
        <v>166</v>
      </c>
      <c r="AD70" s="5" t="s">
        <v>12</v>
      </c>
      <c r="AE70" s="5" t="s">
        <v>12</v>
      </c>
      <c r="AF70" s="5" t="s">
        <v>12</v>
      </c>
      <c r="AG70" s="4">
        <f>0.00000000000417*($B$1/298)*EXP(-11390/(8.314*$B$1))</f>
        <v>4.4556666480779779E-13</v>
      </c>
      <c r="AH70" s="94">
        <v>24</v>
      </c>
      <c r="AI70" s="9" t="s">
        <v>418</v>
      </c>
    </row>
    <row r="71" spans="1:35" x14ac:dyDescent="0.25">
      <c r="A71" s="8">
        <v>69</v>
      </c>
      <c r="B71" s="150"/>
      <c r="C71" s="137"/>
      <c r="D71" s="137"/>
      <c r="E71" s="149"/>
      <c r="F71" s="1" t="s">
        <v>58</v>
      </c>
      <c r="G71" s="1"/>
      <c r="H71" s="1"/>
      <c r="I71" s="4">
        <f>4.08E-24*$B$1^-3.21*EXP(-535/$B$1)</f>
        <v>3.0599425874799287E-33</v>
      </c>
      <c r="J71" s="5" t="s">
        <v>12</v>
      </c>
      <c r="K71" s="4">
        <f>0.000000000166*$B$1^-0.128*EXP(-154/$B$1)</f>
        <v>5.5028355003716287E-11</v>
      </c>
      <c r="L71" s="5" t="s">
        <v>12</v>
      </c>
      <c r="M71" s="139"/>
      <c r="N71" s="139"/>
      <c r="O71" s="138" t="s">
        <v>278</v>
      </c>
      <c r="P71" s="5" t="s">
        <v>12</v>
      </c>
      <c r="Q71" s="5" t="s">
        <v>12</v>
      </c>
      <c r="R71" s="5" t="s">
        <v>12</v>
      </c>
      <c r="S71" s="5" t="s">
        <v>12</v>
      </c>
      <c r="V71" s="4">
        <f>13300*$B$1^4.16*EXP(-8958/$B$1)</f>
        <v>34288928.545567252</v>
      </c>
      <c r="W71" s="5" t="s">
        <v>12</v>
      </c>
      <c r="X71" s="4">
        <f>46700000000000000*$B$1^0.723*EXP(-8467/$B$1)</f>
        <v>172923245638.42682</v>
      </c>
      <c r="Y71" s="5" t="s">
        <v>12</v>
      </c>
      <c r="Z71" s="139"/>
      <c r="AA71" s="139"/>
      <c r="AB71" s="153" t="s">
        <v>186</v>
      </c>
      <c r="AD71" s="5" t="s">
        <v>12</v>
      </c>
      <c r="AE71" s="5" t="s">
        <v>12</v>
      </c>
      <c r="AF71" s="5" t="s">
        <v>12</v>
      </c>
      <c r="AG71" s="5" t="s">
        <v>12</v>
      </c>
    </row>
    <row r="72" spans="1:35" x14ac:dyDescent="0.25">
      <c r="A72" s="8">
        <v>70</v>
      </c>
      <c r="B72" s="150"/>
      <c r="C72" s="137"/>
      <c r="D72" s="137"/>
      <c r="E72" s="149"/>
      <c r="F72" s="1" t="s">
        <v>56</v>
      </c>
      <c r="G72" s="1"/>
      <c r="H72" s="1"/>
      <c r="I72" s="4">
        <f>1.06E-24*$B$1^-2.87*EXP(-501/$B$1)</f>
        <v>7.0323928721901997E-33</v>
      </c>
      <c r="J72" s="5" t="s">
        <v>12</v>
      </c>
      <c r="K72" s="4">
        <f>0.0000000000447*$B$1^0.073*EXP(-94/$B$1)</f>
        <v>5.8245748846420685E-11</v>
      </c>
      <c r="L72" s="5" t="s">
        <v>12</v>
      </c>
      <c r="M72" s="139"/>
      <c r="N72" s="139"/>
      <c r="O72" s="138"/>
      <c r="P72" s="5" t="s">
        <v>12</v>
      </c>
      <c r="Q72" s="5" t="s">
        <v>12</v>
      </c>
      <c r="R72" s="5" t="s">
        <v>12</v>
      </c>
      <c r="S72" s="5" t="s">
        <v>12</v>
      </c>
      <c r="V72" s="4">
        <f>8030000*$B$1^-4.76*EXP(-17297/$B$1)</f>
        <v>9.6716999997706162E-22</v>
      </c>
      <c r="W72" s="5" t="s">
        <v>12</v>
      </c>
      <c r="X72" s="4">
        <f>191000000000000000*$B$1^-0.753*EXP(-16496/$B$1)</f>
        <v>7.3869686459681132</v>
      </c>
      <c r="Y72" s="5" t="s">
        <v>12</v>
      </c>
      <c r="Z72" s="139"/>
      <c r="AA72" s="139"/>
      <c r="AB72" s="153"/>
      <c r="AD72" s="5" t="s">
        <v>12</v>
      </c>
      <c r="AE72" s="5" t="s">
        <v>12</v>
      </c>
      <c r="AF72" s="5" t="s">
        <v>12</v>
      </c>
      <c r="AG72" s="5" t="s">
        <v>12</v>
      </c>
    </row>
    <row r="73" spans="1:35" ht="18" x14ac:dyDescent="0.35">
      <c r="A73" s="8">
        <v>71</v>
      </c>
      <c r="B73" s="1" t="s">
        <v>13</v>
      </c>
      <c r="C73" s="1" t="s">
        <v>1</v>
      </c>
      <c r="D73" s="1" t="s">
        <v>38</v>
      </c>
      <c r="E73" s="2" t="s">
        <v>0</v>
      </c>
      <c r="F73" s="1" t="s">
        <v>20</v>
      </c>
      <c r="G73" s="1" t="s">
        <v>1</v>
      </c>
      <c r="H73" s="1" t="s">
        <v>39</v>
      </c>
      <c r="I73" s="5" t="s">
        <v>12</v>
      </c>
      <c r="J73" s="5" t="s">
        <v>12</v>
      </c>
      <c r="K73" s="5" t="s">
        <v>12</v>
      </c>
      <c r="L73" s="4">
        <f>1.87E-24*$B$1^3.85*EXP(-4344/$B$1)</f>
        <v>7.4048312067608712E-18</v>
      </c>
      <c r="M73" s="139" t="s">
        <v>385</v>
      </c>
      <c r="N73" s="139"/>
      <c r="O73" s="9" t="s">
        <v>188</v>
      </c>
      <c r="P73" s="5" t="s">
        <v>12</v>
      </c>
      <c r="Q73" s="5" t="s">
        <v>12</v>
      </c>
      <c r="R73" s="5" t="s">
        <v>12</v>
      </c>
      <c r="S73" s="5" t="s">
        <v>12</v>
      </c>
      <c r="U73" s="56"/>
      <c r="V73" s="5" t="s">
        <v>12</v>
      </c>
      <c r="W73" s="5" t="s">
        <v>12</v>
      </c>
      <c r="X73" s="5" t="s">
        <v>12</v>
      </c>
      <c r="Y73" s="5" t="s">
        <v>12</v>
      </c>
      <c r="AD73" s="5" t="s">
        <v>12</v>
      </c>
      <c r="AE73" s="5" t="s">
        <v>12</v>
      </c>
      <c r="AF73" s="5" t="s">
        <v>12</v>
      </c>
      <c r="AG73" s="5" t="s">
        <v>12</v>
      </c>
    </row>
    <row r="74" spans="1:35" ht="18.75" customHeight="1" x14ac:dyDescent="0.25">
      <c r="A74" s="8">
        <v>72</v>
      </c>
      <c r="B74" s="150" t="s">
        <v>13</v>
      </c>
      <c r="C74" s="137" t="s">
        <v>1</v>
      </c>
      <c r="D74" s="137" t="s">
        <v>39</v>
      </c>
      <c r="E74" s="149" t="s">
        <v>0</v>
      </c>
      <c r="F74" s="1" t="s">
        <v>25</v>
      </c>
      <c r="G74" s="1" t="s">
        <v>1</v>
      </c>
      <c r="H74" s="1" t="s">
        <v>47</v>
      </c>
      <c r="I74" s="5" t="s">
        <v>12</v>
      </c>
      <c r="J74" s="5" t="s">
        <v>12</v>
      </c>
      <c r="K74" s="5" t="s">
        <v>12</v>
      </c>
      <c r="L74" s="4">
        <f>0.000000047*$B$1^-1.08*EXP(-129/$B$1)</f>
        <v>4.4308272605381797E-11</v>
      </c>
      <c r="M74" s="139">
        <v>35</v>
      </c>
      <c r="N74" s="139"/>
      <c r="O74" s="168" t="s">
        <v>279</v>
      </c>
      <c r="P74" s="5" t="s">
        <v>12</v>
      </c>
      <c r="Q74" s="5" t="s">
        <v>12</v>
      </c>
      <c r="R74" s="5" t="s">
        <v>12</v>
      </c>
      <c r="S74" s="5" t="s">
        <v>12</v>
      </c>
      <c r="T74" s="93"/>
      <c r="U74" s="56"/>
      <c r="V74" s="5" t="s">
        <v>12</v>
      </c>
      <c r="W74" s="5" t="s">
        <v>12</v>
      </c>
      <c r="X74" s="5" t="s">
        <v>12</v>
      </c>
      <c r="Y74" s="5" t="s">
        <v>12</v>
      </c>
      <c r="AD74" s="5" t="s">
        <v>12</v>
      </c>
      <c r="AE74" s="5" t="s">
        <v>12</v>
      </c>
      <c r="AF74" s="5" t="s">
        <v>12</v>
      </c>
      <c r="AG74" s="5" t="s">
        <v>12</v>
      </c>
    </row>
    <row r="75" spans="1:35" ht="18" x14ac:dyDescent="0.35">
      <c r="A75" s="8">
        <v>73</v>
      </c>
      <c r="B75" s="150"/>
      <c r="C75" s="137"/>
      <c r="D75" s="137"/>
      <c r="E75" s="149"/>
      <c r="F75" s="1" t="s">
        <v>24</v>
      </c>
      <c r="G75" s="1" t="s">
        <v>1</v>
      </c>
      <c r="H75" s="1" t="s">
        <v>48</v>
      </c>
      <c r="I75" s="5" t="s">
        <v>12</v>
      </c>
      <c r="J75" s="5" t="s">
        <v>12</v>
      </c>
      <c r="K75" s="5" t="s">
        <v>12</v>
      </c>
      <c r="L75" s="4">
        <f>0.0000000017*$B$1^-0.62*EXP(-24/$B$1)</f>
        <v>3.4447847162747565E-11</v>
      </c>
      <c r="M75" s="139"/>
      <c r="N75" s="139"/>
      <c r="O75" s="168"/>
      <c r="P75" s="5" t="s">
        <v>12</v>
      </c>
      <c r="Q75" s="5" t="s">
        <v>12</v>
      </c>
      <c r="R75" s="5" t="s">
        <v>12</v>
      </c>
      <c r="S75" s="5" t="s">
        <v>12</v>
      </c>
      <c r="T75" s="93"/>
      <c r="U75" s="56"/>
      <c r="V75" s="5" t="s">
        <v>12</v>
      </c>
      <c r="W75" s="5" t="s">
        <v>12</v>
      </c>
      <c r="X75" s="5" t="s">
        <v>12</v>
      </c>
      <c r="Y75" s="5" t="s">
        <v>12</v>
      </c>
      <c r="AD75" s="5" t="s">
        <v>12</v>
      </c>
      <c r="AE75" s="5" t="s">
        <v>12</v>
      </c>
      <c r="AF75" s="5" t="s">
        <v>12</v>
      </c>
      <c r="AG75" s="5" t="s">
        <v>12</v>
      </c>
    </row>
    <row r="76" spans="1:35" x14ac:dyDescent="0.25">
      <c r="A76" s="8">
        <v>74</v>
      </c>
      <c r="B76" s="150"/>
      <c r="C76" s="137"/>
      <c r="D76" s="137"/>
      <c r="E76" s="149"/>
      <c r="F76" s="1" t="s">
        <v>20</v>
      </c>
      <c r="G76" s="1" t="s">
        <v>1</v>
      </c>
      <c r="H76" s="1" t="s">
        <v>65</v>
      </c>
      <c r="I76" s="5" t="s">
        <v>12</v>
      </c>
      <c r="J76" s="5" t="s">
        <v>12</v>
      </c>
      <c r="K76" s="5" t="s">
        <v>12</v>
      </c>
      <c r="L76" s="4">
        <f>4.8E-29*$B$1^5.11*EXP(-1035/$B$1)</f>
        <v>3.6510966843055456E-16</v>
      </c>
      <c r="M76" s="139"/>
      <c r="N76" s="139"/>
      <c r="O76" s="168"/>
      <c r="P76" s="5" t="s">
        <v>12</v>
      </c>
      <c r="Q76" s="5" t="s">
        <v>12</v>
      </c>
      <c r="R76" s="5" t="s">
        <v>12</v>
      </c>
      <c r="S76" s="5" t="s">
        <v>12</v>
      </c>
      <c r="T76" s="93"/>
      <c r="U76" s="56"/>
      <c r="V76" s="5" t="s">
        <v>12</v>
      </c>
      <c r="W76" s="5" t="s">
        <v>12</v>
      </c>
      <c r="X76" s="5" t="s">
        <v>12</v>
      </c>
      <c r="Y76" s="5" t="s">
        <v>12</v>
      </c>
      <c r="AD76" s="5" t="s">
        <v>12</v>
      </c>
      <c r="AE76" s="5" t="s">
        <v>12</v>
      </c>
      <c r="AF76" s="5" t="s">
        <v>12</v>
      </c>
      <c r="AG76" s="5" t="s">
        <v>12</v>
      </c>
    </row>
    <row r="77" spans="1:35" ht="18" x14ac:dyDescent="0.35">
      <c r="A77" s="8">
        <v>75</v>
      </c>
      <c r="B77" s="1" t="s">
        <v>13</v>
      </c>
      <c r="C77" s="1" t="s">
        <v>1</v>
      </c>
      <c r="D77" s="1" t="s">
        <v>44</v>
      </c>
      <c r="E77" s="2" t="s">
        <v>0</v>
      </c>
      <c r="F77" s="1" t="s">
        <v>55</v>
      </c>
      <c r="G77" s="1"/>
      <c r="H77" s="1"/>
      <c r="I77" s="4">
        <f>0.0000000000000000319*$B$1^-5.54*EXP(-384/$B$1)</f>
        <v>1.6812747888926302E-32</v>
      </c>
      <c r="J77" s="5" t="s">
        <v>12</v>
      </c>
      <c r="K77" s="4">
        <f>0.000000333*$B$1^-1.48*EXP(-18/$B$1)</f>
        <v>3.2708345005348592E-11</v>
      </c>
      <c r="L77" s="5" t="s">
        <v>12</v>
      </c>
      <c r="M77" s="139">
        <v>36</v>
      </c>
      <c r="N77" s="139"/>
      <c r="O77" s="23" t="s">
        <v>280</v>
      </c>
      <c r="P77" s="5" t="s">
        <v>12</v>
      </c>
      <c r="Q77" s="5" t="s">
        <v>12</v>
      </c>
      <c r="R77" s="5" t="s">
        <v>12</v>
      </c>
      <c r="S77" s="4">
        <f>0.000000000015*($B$1/300)^-1.9</f>
        <v>5.7231797633370249E-12</v>
      </c>
      <c r="T77" s="87">
        <v>20</v>
      </c>
      <c r="U77" s="57" t="s">
        <v>218</v>
      </c>
      <c r="V77" s="4">
        <f>60800000000000*$B$1^-6.54*EXP(-13813/$B$1)</f>
        <v>1.2612237776148864E-16</v>
      </c>
      <c r="W77" s="5" t="s">
        <v>12</v>
      </c>
      <c r="X77" s="4">
        <f>4.59E+23*$B$1^-2.43*EXP(-13437/$B$1)</f>
        <v>246975.41763161513</v>
      </c>
      <c r="Y77" s="5" t="s">
        <v>12</v>
      </c>
      <c r="Z77" s="139">
        <v>36</v>
      </c>
      <c r="AA77" s="139"/>
      <c r="AB77" s="15" t="s">
        <v>185</v>
      </c>
      <c r="AD77" s="5" t="s">
        <v>12</v>
      </c>
      <c r="AE77" s="5" t="s">
        <v>12</v>
      </c>
      <c r="AF77" s="5" t="s">
        <v>12</v>
      </c>
      <c r="AG77" s="5" t="s">
        <v>12</v>
      </c>
    </row>
    <row r="78" spans="1:35" ht="18" x14ac:dyDescent="0.35">
      <c r="A78" s="8">
        <v>76</v>
      </c>
      <c r="B78" s="1" t="s">
        <v>13</v>
      </c>
      <c r="C78" s="1" t="s">
        <v>1</v>
      </c>
      <c r="D78" s="1" t="s">
        <v>43</v>
      </c>
      <c r="E78" s="2" t="s">
        <v>0</v>
      </c>
      <c r="F78" s="1" t="s">
        <v>24</v>
      </c>
      <c r="G78" s="1" t="s">
        <v>1</v>
      </c>
      <c r="H78" s="1" t="s">
        <v>44</v>
      </c>
      <c r="I78" s="5" t="s">
        <v>12</v>
      </c>
      <c r="J78" s="5" t="s">
        <v>12</v>
      </c>
      <c r="K78" s="5" t="s">
        <v>12</v>
      </c>
      <c r="L78" s="4">
        <f>0.00000000143*$B$1^-0.83*EXP(92/$B$1)</f>
        <v>9.9250813725109327E-12</v>
      </c>
      <c r="M78" s="139">
        <v>37</v>
      </c>
      <c r="N78" s="139"/>
      <c r="O78" s="9" t="s">
        <v>281</v>
      </c>
      <c r="P78" s="5" t="s">
        <v>12</v>
      </c>
      <c r="Q78" s="5" t="s">
        <v>12</v>
      </c>
      <c r="R78" s="5" t="s">
        <v>12</v>
      </c>
      <c r="S78" s="4">
        <f>0.0000000000062*($B$1/298)*EXP(2453/(8.314*$B$1))</f>
        <v>1.8739572908359678E-11</v>
      </c>
      <c r="T78" s="81">
        <v>10</v>
      </c>
      <c r="U78" s="57" t="s">
        <v>224</v>
      </c>
      <c r="V78" s="5" t="s">
        <v>12</v>
      </c>
      <c r="W78" s="5" t="s">
        <v>12</v>
      </c>
      <c r="X78" s="5" t="s">
        <v>12</v>
      </c>
      <c r="Y78" s="5" t="s">
        <v>12</v>
      </c>
      <c r="AD78" s="5" t="s">
        <v>12</v>
      </c>
      <c r="AE78" s="5" t="s">
        <v>12</v>
      </c>
      <c r="AF78" s="5" t="s">
        <v>12</v>
      </c>
      <c r="AG78" s="5" t="s">
        <v>12</v>
      </c>
    </row>
    <row r="79" spans="1:35" ht="18" x14ac:dyDescent="0.35">
      <c r="A79" s="8">
        <v>77</v>
      </c>
      <c r="B79" s="150" t="s">
        <v>13</v>
      </c>
      <c r="C79" s="137" t="s">
        <v>1</v>
      </c>
      <c r="D79" s="137" t="s">
        <v>41</v>
      </c>
      <c r="E79" s="149" t="s">
        <v>0</v>
      </c>
      <c r="F79" s="1" t="s">
        <v>5</v>
      </c>
      <c r="G79" s="1" t="s">
        <v>1</v>
      </c>
      <c r="H79" s="1" t="s">
        <v>44</v>
      </c>
      <c r="I79" s="5" t="s">
        <v>12</v>
      </c>
      <c r="J79" s="5" t="s">
        <v>12</v>
      </c>
      <c r="K79" s="5" t="s">
        <v>12</v>
      </c>
      <c r="L79" s="4">
        <v>1.1999999999999999E-13</v>
      </c>
      <c r="M79" s="139">
        <v>10</v>
      </c>
      <c r="N79" s="139"/>
      <c r="O79" s="23" t="s">
        <v>228</v>
      </c>
      <c r="P79" s="5" t="s">
        <v>12</v>
      </c>
      <c r="Q79" s="5" t="s">
        <v>12</v>
      </c>
      <c r="R79" s="5" t="s">
        <v>12</v>
      </c>
      <c r="S79" s="5" t="s">
        <v>12</v>
      </c>
      <c r="T79" s="93"/>
      <c r="U79" s="56"/>
      <c r="V79" s="5" t="s">
        <v>12</v>
      </c>
      <c r="W79" s="5" t="s">
        <v>12</v>
      </c>
      <c r="X79" s="5" t="s">
        <v>12</v>
      </c>
      <c r="Y79" s="5" t="s">
        <v>12</v>
      </c>
      <c r="AD79" s="5" t="s">
        <v>12</v>
      </c>
      <c r="AE79" s="5" t="s">
        <v>12</v>
      </c>
      <c r="AF79" s="5" t="s">
        <v>12</v>
      </c>
      <c r="AG79" s="5" t="s">
        <v>12</v>
      </c>
    </row>
    <row r="80" spans="1:35" ht="18" x14ac:dyDescent="0.35">
      <c r="A80" s="8">
        <v>78</v>
      </c>
      <c r="B80" s="150"/>
      <c r="C80" s="137"/>
      <c r="D80" s="137"/>
      <c r="E80" s="149"/>
      <c r="F80" s="1" t="s">
        <v>27</v>
      </c>
      <c r="G80" s="1" t="s">
        <v>1</v>
      </c>
      <c r="H80" s="1" t="s">
        <v>44</v>
      </c>
      <c r="I80" s="5" t="s">
        <v>12</v>
      </c>
      <c r="J80" s="5" t="s">
        <v>12</v>
      </c>
      <c r="K80" s="5" t="s">
        <v>12</v>
      </c>
      <c r="L80" s="4">
        <v>4.7000000000000002E-13</v>
      </c>
      <c r="M80" s="144">
        <v>20</v>
      </c>
      <c r="N80" s="144"/>
      <c r="O80" s="9" t="s">
        <v>265</v>
      </c>
      <c r="P80" s="5" t="s">
        <v>12</v>
      </c>
      <c r="Q80" s="5" t="s">
        <v>12</v>
      </c>
      <c r="R80" s="5" t="s">
        <v>12</v>
      </c>
      <c r="S80" s="5" t="s">
        <v>12</v>
      </c>
      <c r="T80" s="93"/>
      <c r="U80" s="56"/>
      <c r="V80" s="5" t="s">
        <v>12</v>
      </c>
      <c r="W80" s="5" t="s">
        <v>12</v>
      </c>
      <c r="X80" s="5" t="s">
        <v>12</v>
      </c>
      <c r="Y80" s="5" t="s">
        <v>12</v>
      </c>
      <c r="AD80" s="5" t="s">
        <v>12</v>
      </c>
      <c r="AE80" s="5" t="s">
        <v>12</v>
      </c>
      <c r="AF80" s="5" t="s">
        <v>12</v>
      </c>
      <c r="AG80" s="5" t="s">
        <v>12</v>
      </c>
    </row>
    <row r="81" spans="1:33" x14ac:dyDescent="0.25">
      <c r="A81" s="8">
        <v>79</v>
      </c>
      <c r="B81" s="150" t="s">
        <v>13</v>
      </c>
      <c r="C81" s="137" t="s">
        <v>1</v>
      </c>
      <c r="D81" s="137" t="s">
        <v>6</v>
      </c>
      <c r="E81" s="149" t="s">
        <v>0</v>
      </c>
      <c r="F81" s="1" t="s">
        <v>21</v>
      </c>
      <c r="G81" s="1"/>
      <c r="I81" s="5" t="s">
        <v>12</v>
      </c>
      <c r="J81" s="5" t="s">
        <v>12</v>
      </c>
      <c r="K81" s="4">
        <f>0.00000000527*$B$1^-1.03*EXP(-40/$B$1)</f>
        <v>8.1032099125864284E-12</v>
      </c>
      <c r="L81" s="5" t="s">
        <v>12</v>
      </c>
      <c r="M81" s="139">
        <v>38</v>
      </c>
      <c r="N81" s="139"/>
      <c r="O81" s="8" t="s">
        <v>282</v>
      </c>
      <c r="P81" s="5" t="s">
        <v>12</v>
      </c>
      <c r="Q81" s="5" t="s">
        <v>12</v>
      </c>
      <c r="R81" s="5" t="s">
        <v>12</v>
      </c>
      <c r="S81" s="5" t="s">
        <v>12</v>
      </c>
      <c r="U81" s="56"/>
      <c r="V81" s="5" t="s">
        <v>12</v>
      </c>
      <c r="W81" s="5" t="s">
        <v>12</v>
      </c>
      <c r="X81" s="5" t="s">
        <v>12</v>
      </c>
      <c r="Y81" s="5" t="s">
        <v>12</v>
      </c>
      <c r="AD81" s="5" t="s">
        <v>12</v>
      </c>
      <c r="AE81" s="5" t="s">
        <v>12</v>
      </c>
      <c r="AF81" s="5" t="s">
        <v>12</v>
      </c>
      <c r="AG81" s="5" t="s">
        <v>12</v>
      </c>
    </row>
    <row r="82" spans="1:33" ht="18" x14ac:dyDescent="0.35">
      <c r="A82" s="8">
        <v>80</v>
      </c>
      <c r="B82" s="150"/>
      <c r="C82" s="137"/>
      <c r="D82" s="137"/>
      <c r="E82" s="149"/>
      <c r="F82" s="1" t="s">
        <v>7</v>
      </c>
      <c r="G82" s="1" t="s">
        <v>1</v>
      </c>
      <c r="H82" s="1" t="s">
        <v>24</v>
      </c>
      <c r="I82" s="5" t="s">
        <v>12</v>
      </c>
      <c r="J82" s="5" t="s">
        <v>12</v>
      </c>
      <c r="K82" s="4">
        <f>0.00000000000034*$B$1^0.3*EXP(725/$B$1)</f>
        <v>9.3918813864498233E-12</v>
      </c>
      <c r="L82" s="5" t="s">
        <v>12</v>
      </c>
      <c r="M82" s="139"/>
      <c r="N82" s="139"/>
      <c r="O82" s="138" t="s">
        <v>283</v>
      </c>
      <c r="P82" s="5" t="s">
        <v>12</v>
      </c>
      <c r="Q82" s="5" t="s">
        <v>12</v>
      </c>
      <c r="R82" s="5" t="s">
        <v>12</v>
      </c>
      <c r="S82" s="5" t="s">
        <v>12</v>
      </c>
      <c r="T82" s="82"/>
      <c r="U82" s="56"/>
      <c r="V82" s="5" t="s">
        <v>12</v>
      </c>
      <c r="W82" s="5" t="s">
        <v>12</v>
      </c>
      <c r="X82" s="5" t="s">
        <v>12</v>
      </c>
      <c r="Y82" s="12">
        <f>0.000000000063*$B$1/298*EXP(-4739/$B$1)</f>
        <v>7.7795532967139141E-15</v>
      </c>
      <c r="Z82" s="147">
        <v>10</v>
      </c>
      <c r="AA82" s="147"/>
      <c r="AB82" s="22" t="s">
        <v>393</v>
      </c>
      <c r="AC82" s="73"/>
      <c r="AD82" s="5" t="s">
        <v>12</v>
      </c>
      <c r="AE82" s="5" t="s">
        <v>12</v>
      </c>
      <c r="AF82" s="5" t="s">
        <v>12</v>
      </c>
      <c r="AG82" s="5" t="s">
        <v>12</v>
      </c>
    </row>
    <row r="83" spans="1:33" ht="18" x14ac:dyDescent="0.35">
      <c r="A83" s="8">
        <v>81</v>
      </c>
      <c r="B83" s="150"/>
      <c r="C83" s="137"/>
      <c r="D83" s="137"/>
      <c r="E83" s="149"/>
      <c r="F83" s="1" t="s">
        <v>25</v>
      </c>
      <c r="G83" s="1" t="s">
        <v>1</v>
      </c>
      <c r="H83" s="1" t="s">
        <v>23</v>
      </c>
      <c r="I83" s="5" t="s">
        <v>12</v>
      </c>
      <c r="J83" s="5" t="s">
        <v>12</v>
      </c>
      <c r="K83" s="4">
        <f>5.85E-19*$B$1^1.67*EXP(1926/$B$1)</f>
        <v>8.9302241730572614E-13</v>
      </c>
      <c r="L83" s="5" t="s">
        <v>12</v>
      </c>
      <c r="M83" s="139"/>
      <c r="N83" s="139"/>
      <c r="O83" s="138"/>
      <c r="P83" s="5" t="s">
        <v>12</v>
      </c>
      <c r="Q83" s="5" t="s">
        <v>12</v>
      </c>
      <c r="R83" s="5" t="s">
        <v>12</v>
      </c>
      <c r="S83" s="5" t="s">
        <v>12</v>
      </c>
      <c r="U83" s="57"/>
      <c r="V83" s="5" t="s">
        <v>12</v>
      </c>
      <c r="W83" s="5" t="s">
        <v>12</v>
      </c>
      <c r="X83" s="5" t="s">
        <v>12</v>
      </c>
      <c r="Y83" s="5" t="s">
        <v>12</v>
      </c>
      <c r="AD83" s="5" t="s">
        <v>12</v>
      </c>
      <c r="AE83" s="5" t="s">
        <v>12</v>
      </c>
      <c r="AF83" s="5" t="s">
        <v>12</v>
      </c>
      <c r="AG83" s="5" t="s">
        <v>12</v>
      </c>
    </row>
    <row r="84" spans="1:33" ht="18.75" x14ac:dyDescent="0.35">
      <c r="A84" s="8">
        <v>82</v>
      </c>
      <c r="B84" s="150" t="s">
        <v>13</v>
      </c>
      <c r="C84" s="137" t="s">
        <v>1</v>
      </c>
      <c r="D84" s="137" t="s">
        <v>7</v>
      </c>
      <c r="E84" s="149" t="s">
        <v>0</v>
      </c>
      <c r="F84" s="1" t="s">
        <v>20</v>
      </c>
      <c r="G84" s="1" t="s">
        <v>1</v>
      </c>
      <c r="H84" s="1" t="s">
        <v>26</v>
      </c>
      <c r="I84" s="5" t="s">
        <v>12</v>
      </c>
      <c r="J84" s="4">
        <f>0.000000000164*$B$1^-0.64*EXP(107/$B$1)</f>
        <v>3.8178383176388782E-12</v>
      </c>
      <c r="K84" s="5" t="s">
        <v>12</v>
      </c>
      <c r="L84" s="5" t="s">
        <v>12</v>
      </c>
      <c r="M84" s="139">
        <v>39</v>
      </c>
      <c r="N84" s="139"/>
      <c r="O84" s="9" t="s">
        <v>284</v>
      </c>
      <c r="P84" s="5" t="s">
        <v>12</v>
      </c>
      <c r="Q84" s="5" t="s">
        <v>12</v>
      </c>
      <c r="R84" s="5" t="s">
        <v>12</v>
      </c>
      <c r="S84" s="4">
        <f>0.00000000000048*($B$1/298)*EXP(-5820/(8.314*$B$1))</f>
        <v>1.9683116413320107E-13</v>
      </c>
      <c r="T84" s="87">
        <v>20</v>
      </c>
      <c r="U84" s="77" t="s">
        <v>218</v>
      </c>
      <c r="V84" s="5" t="s">
        <v>12</v>
      </c>
      <c r="W84" s="5" t="s">
        <v>12</v>
      </c>
      <c r="X84" s="5" t="s">
        <v>12</v>
      </c>
      <c r="Y84" s="5" t="s">
        <v>12</v>
      </c>
      <c r="AB84" s="48"/>
      <c r="AC84" s="73"/>
      <c r="AD84" s="5" t="s">
        <v>12</v>
      </c>
      <c r="AE84" s="5" t="s">
        <v>12</v>
      </c>
      <c r="AF84" s="5" t="s">
        <v>12</v>
      </c>
      <c r="AG84" s="5" t="s">
        <v>12</v>
      </c>
    </row>
    <row r="85" spans="1:33" ht="18.75" x14ac:dyDescent="0.35">
      <c r="A85" s="8">
        <v>83</v>
      </c>
      <c r="B85" s="150"/>
      <c r="C85" s="137"/>
      <c r="D85" s="137"/>
      <c r="E85" s="149"/>
      <c r="F85" s="1" t="s">
        <v>20</v>
      </c>
      <c r="G85" s="1" t="s">
        <v>1</v>
      </c>
      <c r="H85" s="1" t="s">
        <v>64</v>
      </c>
      <c r="I85" s="5" t="s">
        <v>12</v>
      </c>
      <c r="J85" s="4">
        <f>1.39E-21*$B$1^2.26*EXP(226/$B$1)</f>
        <v>2.7294731207483683E-15</v>
      </c>
      <c r="K85" s="5" t="s">
        <v>12</v>
      </c>
      <c r="L85" s="5" t="s">
        <v>12</v>
      </c>
      <c r="M85" s="139"/>
      <c r="N85" s="139"/>
      <c r="O85" s="138" t="s">
        <v>285</v>
      </c>
      <c r="P85" s="5" t="s">
        <v>12</v>
      </c>
      <c r="Q85" s="5" t="s">
        <v>12</v>
      </c>
      <c r="R85" s="5" t="s">
        <v>12</v>
      </c>
      <c r="S85" s="5" t="s">
        <v>12</v>
      </c>
      <c r="U85" s="56"/>
      <c r="V85" s="5" t="s">
        <v>12</v>
      </c>
      <c r="W85" s="5" t="s">
        <v>12</v>
      </c>
      <c r="X85" s="5" t="s">
        <v>12</v>
      </c>
      <c r="Y85" s="5" t="s">
        <v>12</v>
      </c>
      <c r="AD85" s="5" t="s">
        <v>12</v>
      </c>
      <c r="AE85" s="5" t="s">
        <v>12</v>
      </c>
      <c r="AF85" s="5" t="s">
        <v>12</v>
      </c>
      <c r="AG85" s="5" t="s">
        <v>12</v>
      </c>
    </row>
    <row r="86" spans="1:33" x14ac:dyDescent="0.25">
      <c r="A86" s="8">
        <v>84</v>
      </c>
      <c r="B86" s="150"/>
      <c r="C86" s="137"/>
      <c r="D86" s="137"/>
      <c r="E86" s="149"/>
      <c r="F86" s="1" t="s">
        <v>2</v>
      </c>
      <c r="G86" s="1" t="s">
        <v>1</v>
      </c>
      <c r="H86" s="1" t="s">
        <v>27</v>
      </c>
      <c r="I86" s="5" t="s">
        <v>12</v>
      </c>
      <c r="J86" s="4">
        <f>7.61E-19*$B$1^1.8*EXP(-1065/$B$1)</f>
        <v>6.4291012731691588E-15</v>
      </c>
      <c r="K86" s="5" t="s">
        <v>12</v>
      </c>
      <c r="L86" s="5" t="s">
        <v>12</v>
      </c>
      <c r="M86" s="139"/>
      <c r="N86" s="139"/>
      <c r="O86" s="138"/>
      <c r="P86" s="5" t="s">
        <v>12</v>
      </c>
      <c r="Q86" s="5" t="s">
        <v>12</v>
      </c>
      <c r="R86" s="5" t="s">
        <v>12</v>
      </c>
      <c r="S86" s="5" t="s">
        <v>12</v>
      </c>
      <c r="U86" s="56"/>
      <c r="V86" s="5" t="s">
        <v>12</v>
      </c>
      <c r="W86" s="5" t="s">
        <v>12</v>
      </c>
      <c r="X86" s="5" t="s">
        <v>12</v>
      </c>
      <c r="Y86" s="5" t="s">
        <v>12</v>
      </c>
      <c r="AD86" s="5" t="s">
        <v>12</v>
      </c>
      <c r="AE86" s="5" t="s">
        <v>12</v>
      </c>
      <c r="AF86" s="5" t="s">
        <v>12</v>
      </c>
      <c r="AG86" s="5" t="s">
        <v>12</v>
      </c>
    </row>
    <row r="87" spans="1:33" x14ac:dyDescent="0.25">
      <c r="A87" s="8">
        <v>85</v>
      </c>
      <c r="B87" s="150"/>
      <c r="C87" s="137"/>
      <c r="D87" s="137"/>
      <c r="E87" s="149"/>
      <c r="F87" s="1" t="s">
        <v>2</v>
      </c>
      <c r="G87" s="1" t="s">
        <v>1</v>
      </c>
      <c r="H87" s="1" t="s">
        <v>5</v>
      </c>
      <c r="I87" s="5" t="s">
        <v>12</v>
      </c>
      <c r="J87" s="4">
        <f>2.22E-21*$B$1^2.32*EXP(-2566/$B$1)</f>
        <v>2.3289063380461992E-17</v>
      </c>
      <c r="K87" s="5" t="s">
        <v>12</v>
      </c>
      <c r="L87" s="5" t="s">
        <v>12</v>
      </c>
      <c r="M87" s="139"/>
      <c r="N87" s="139"/>
      <c r="O87" s="138"/>
      <c r="P87" s="5" t="s">
        <v>12</v>
      </c>
      <c r="Q87" s="5" t="s">
        <v>12</v>
      </c>
      <c r="R87" s="5" t="s">
        <v>12</v>
      </c>
      <c r="S87" s="5" t="s">
        <v>12</v>
      </c>
      <c r="U87" s="56"/>
      <c r="V87" s="5" t="s">
        <v>12</v>
      </c>
      <c r="W87" s="5" t="s">
        <v>12</v>
      </c>
      <c r="X87" s="5" t="s">
        <v>12</v>
      </c>
      <c r="Y87" s="5" t="s">
        <v>12</v>
      </c>
      <c r="AD87" s="5" t="s">
        <v>12</v>
      </c>
      <c r="AE87" s="5" t="s">
        <v>12</v>
      </c>
      <c r="AF87" s="5" t="s">
        <v>12</v>
      </c>
      <c r="AG87" s="5" t="s">
        <v>12</v>
      </c>
    </row>
    <row r="88" spans="1:33" ht="18" x14ac:dyDescent="0.35">
      <c r="A88" s="8">
        <v>86</v>
      </c>
      <c r="B88" s="150"/>
      <c r="C88" s="137"/>
      <c r="D88" s="137"/>
      <c r="E88" s="149"/>
      <c r="F88" s="1" t="s">
        <v>25</v>
      </c>
      <c r="G88" s="1" t="s">
        <v>1</v>
      </c>
      <c r="H88" s="1" t="s">
        <v>66</v>
      </c>
      <c r="I88" s="5" t="s">
        <v>12</v>
      </c>
      <c r="J88" s="4">
        <f>7.6E-21*$B$1^-2.05*EXP(-855/$B$1)</f>
        <v>4.0348162982582775E-27</v>
      </c>
      <c r="K88" s="5" t="s">
        <v>12</v>
      </c>
      <c r="L88" s="5" t="s">
        <v>12</v>
      </c>
      <c r="M88" s="139"/>
      <c r="N88" s="139"/>
      <c r="O88" s="138"/>
      <c r="P88" s="5" t="s">
        <v>12</v>
      </c>
      <c r="Q88" s="5" t="s">
        <v>12</v>
      </c>
      <c r="R88" s="5" t="s">
        <v>12</v>
      </c>
      <c r="S88" s="5" t="s">
        <v>12</v>
      </c>
      <c r="U88" s="56"/>
      <c r="V88" s="5" t="s">
        <v>12</v>
      </c>
      <c r="W88" s="5" t="s">
        <v>12</v>
      </c>
      <c r="X88" s="5" t="s">
        <v>12</v>
      </c>
      <c r="Y88" s="5" t="s">
        <v>12</v>
      </c>
      <c r="AD88" s="5" t="s">
        <v>12</v>
      </c>
      <c r="AE88" s="5" t="s">
        <v>12</v>
      </c>
      <c r="AF88" s="5" t="s">
        <v>12</v>
      </c>
      <c r="AG88" s="5" t="s">
        <v>12</v>
      </c>
    </row>
    <row r="89" spans="1:33" ht="18" x14ac:dyDescent="0.35">
      <c r="A89" s="8">
        <v>87</v>
      </c>
      <c r="B89" s="1" t="s">
        <v>13</v>
      </c>
      <c r="C89" s="1" t="s">
        <v>1</v>
      </c>
      <c r="D89" s="1" t="s">
        <v>57</v>
      </c>
      <c r="E89" s="2" t="s">
        <v>0</v>
      </c>
      <c r="F89" s="1" t="s">
        <v>20</v>
      </c>
      <c r="G89" s="1" t="s">
        <v>1</v>
      </c>
      <c r="H89" s="1" t="s">
        <v>32</v>
      </c>
      <c r="I89" s="5" t="s">
        <v>12</v>
      </c>
      <c r="J89" s="5" t="s">
        <v>12</v>
      </c>
      <c r="K89" s="5" t="s">
        <v>12</v>
      </c>
      <c r="L89" s="12" t="s">
        <v>438</v>
      </c>
      <c r="M89" s="139">
        <v>40</v>
      </c>
      <c r="N89" s="139"/>
      <c r="O89" s="9" t="s">
        <v>139</v>
      </c>
      <c r="P89" s="5" t="s">
        <v>12</v>
      </c>
      <c r="Q89" s="5" t="s">
        <v>12</v>
      </c>
      <c r="R89" s="5" t="s">
        <v>12</v>
      </c>
      <c r="S89" s="5" t="s">
        <v>12</v>
      </c>
      <c r="U89" s="56"/>
      <c r="V89" s="5" t="s">
        <v>12</v>
      </c>
      <c r="W89" s="5" t="s">
        <v>12</v>
      </c>
      <c r="X89" s="5" t="s">
        <v>12</v>
      </c>
      <c r="Y89" s="5" t="s">
        <v>12</v>
      </c>
      <c r="AD89" s="5" t="s">
        <v>12</v>
      </c>
      <c r="AE89" s="5" t="s">
        <v>12</v>
      </c>
      <c r="AF89" s="5" t="s">
        <v>12</v>
      </c>
      <c r="AG89" s="5" t="s">
        <v>12</v>
      </c>
    </row>
    <row r="90" spans="1:33" x14ac:dyDescent="0.25">
      <c r="B90" s="150" t="s">
        <v>13</v>
      </c>
      <c r="C90" s="137" t="s">
        <v>1</v>
      </c>
      <c r="D90" s="137" t="s">
        <v>14</v>
      </c>
      <c r="E90" s="149" t="s">
        <v>0</v>
      </c>
      <c r="F90" s="1" t="s">
        <v>5</v>
      </c>
      <c r="G90" s="1"/>
      <c r="H90" s="1"/>
      <c r="I90" s="5" t="s">
        <v>12</v>
      </c>
      <c r="J90" s="5" t="s">
        <v>12</v>
      </c>
      <c r="K90" s="4">
        <f>0.0000000000433*$B$1^-0.03*EXP(43/$B$1)</f>
        <v>3.9179160268355421E-11</v>
      </c>
      <c r="L90" s="5" t="s">
        <v>12</v>
      </c>
      <c r="M90" s="139">
        <v>12</v>
      </c>
      <c r="N90" s="139"/>
      <c r="O90" s="52" t="s">
        <v>162</v>
      </c>
      <c r="P90" s="5" t="s">
        <v>12</v>
      </c>
      <c r="Q90" s="5" t="s">
        <v>12</v>
      </c>
      <c r="R90" s="5" t="s">
        <v>12</v>
      </c>
      <c r="S90" s="5" t="s">
        <v>12</v>
      </c>
      <c r="U90" s="56"/>
      <c r="V90" s="5" t="s">
        <v>12</v>
      </c>
      <c r="W90" s="5" t="s">
        <v>12</v>
      </c>
      <c r="X90" s="5" t="s">
        <v>12</v>
      </c>
      <c r="Y90" s="5" t="s">
        <v>12</v>
      </c>
      <c r="AD90" s="5"/>
      <c r="AE90" s="5"/>
      <c r="AF90" s="5"/>
      <c r="AG90" s="5"/>
    </row>
    <row r="91" spans="1:33" ht="18" x14ac:dyDescent="0.35">
      <c r="A91" s="8">
        <v>88</v>
      </c>
      <c r="B91" s="150"/>
      <c r="C91" s="137"/>
      <c r="D91" s="137"/>
      <c r="E91" s="149"/>
      <c r="F91" s="1" t="s">
        <v>24</v>
      </c>
      <c r="G91" s="1" t="s">
        <v>1</v>
      </c>
      <c r="H91" s="1" t="s">
        <v>23</v>
      </c>
      <c r="I91" s="5" t="s">
        <v>12</v>
      </c>
      <c r="J91" s="5" t="s">
        <v>12</v>
      </c>
      <c r="K91" s="5" t="s">
        <v>12</v>
      </c>
      <c r="L91" s="4">
        <f>0.0000000000412*$B$1^-0.06*EXP(42/$B$1)</f>
        <v>3.0879611261541368E-11</v>
      </c>
      <c r="M91" s="139"/>
      <c r="N91" s="139"/>
      <c r="O91" s="52" t="s">
        <v>164</v>
      </c>
      <c r="P91" s="5" t="s">
        <v>12</v>
      </c>
      <c r="Q91" s="5" t="s">
        <v>12</v>
      </c>
      <c r="R91" s="5" t="s">
        <v>12</v>
      </c>
      <c r="S91" s="4">
        <f>0.000000000025*($B$1/298)*EXP(-915/(8.314*$B$1))</f>
        <v>3.3507037258726636E-11</v>
      </c>
      <c r="T91" s="81">
        <v>10</v>
      </c>
      <c r="U91" s="57" t="s">
        <v>219</v>
      </c>
      <c r="V91" s="5" t="s">
        <v>12</v>
      </c>
      <c r="W91" s="5" t="s">
        <v>12</v>
      </c>
      <c r="X91" s="5" t="s">
        <v>12</v>
      </c>
      <c r="Y91" s="4">
        <f>0.00000000146*($B$1/298)*EXP(-230000/(8.314*$B$1))</f>
        <v>1.8597636714682019E-33</v>
      </c>
      <c r="Z91" s="144" t="s">
        <v>417</v>
      </c>
      <c r="AA91" s="144"/>
      <c r="AB91" s="88" t="s">
        <v>226</v>
      </c>
      <c r="AD91" s="5" t="s">
        <v>12</v>
      </c>
      <c r="AE91" s="5" t="s">
        <v>12</v>
      </c>
      <c r="AF91" s="5" t="s">
        <v>12</v>
      </c>
      <c r="AG91" s="5" t="s">
        <v>12</v>
      </c>
    </row>
    <row r="92" spans="1:33" x14ac:dyDescent="0.25">
      <c r="A92" s="8">
        <v>89</v>
      </c>
      <c r="B92" s="1" t="s">
        <v>13</v>
      </c>
      <c r="C92" s="1" t="s">
        <v>1</v>
      </c>
      <c r="D92" s="1" t="s">
        <v>29</v>
      </c>
      <c r="E92" s="2" t="s">
        <v>0</v>
      </c>
      <c r="F92" s="1" t="s">
        <v>24</v>
      </c>
      <c r="G92" s="1" t="s">
        <v>1</v>
      </c>
      <c r="H92" s="1" t="s">
        <v>6</v>
      </c>
      <c r="I92" s="5" t="s">
        <v>12</v>
      </c>
      <c r="J92" s="5" t="s">
        <v>12</v>
      </c>
      <c r="K92" s="5" t="s">
        <v>12</v>
      </c>
      <c r="L92" s="4">
        <f>0.000000000000316*($B$1/298)*EXP(-20100/(8.314*$B$1))</f>
        <v>4.1221526427999731E-15</v>
      </c>
      <c r="M92" s="139">
        <v>41</v>
      </c>
      <c r="N92" s="139"/>
      <c r="O92" s="9" t="s">
        <v>286</v>
      </c>
      <c r="P92" s="5" t="s">
        <v>12</v>
      </c>
      <c r="Q92" s="5" t="s">
        <v>12</v>
      </c>
      <c r="R92" s="5" t="s">
        <v>12</v>
      </c>
      <c r="S92" s="5" t="s">
        <v>12</v>
      </c>
      <c r="V92" s="5" t="s">
        <v>12</v>
      </c>
      <c r="W92" s="5" t="s">
        <v>12</v>
      </c>
      <c r="X92" s="5" t="s">
        <v>12</v>
      </c>
      <c r="Y92" s="5" t="s">
        <v>12</v>
      </c>
      <c r="AD92" s="5" t="s">
        <v>12</v>
      </c>
      <c r="AE92" s="5" t="s">
        <v>12</v>
      </c>
      <c r="AF92" s="5" t="s">
        <v>12</v>
      </c>
      <c r="AG92" s="5" t="s">
        <v>12</v>
      </c>
    </row>
    <row r="93" spans="1:33" ht="18" x14ac:dyDescent="0.35">
      <c r="A93" s="8">
        <v>90</v>
      </c>
      <c r="B93" s="1" t="s">
        <v>28</v>
      </c>
      <c r="E93" s="2" t="s">
        <v>0</v>
      </c>
      <c r="F93" s="1" t="s">
        <v>24</v>
      </c>
      <c r="G93" s="1" t="s">
        <v>1</v>
      </c>
      <c r="H93" s="1" t="s">
        <v>24</v>
      </c>
      <c r="I93" s="5" t="s">
        <v>12</v>
      </c>
      <c r="J93" s="5" t="s">
        <v>12</v>
      </c>
      <c r="K93" s="5" t="s">
        <v>12</v>
      </c>
      <c r="L93" s="4">
        <v>57</v>
      </c>
      <c r="M93" s="139">
        <v>42</v>
      </c>
      <c r="N93" s="139"/>
      <c r="O93" s="9" t="s">
        <v>287</v>
      </c>
      <c r="P93" s="5" t="s">
        <v>12</v>
      </c>
      <c r="Q93" s="5" t="s">
        <v>12</v>
      </c>
      <c r="R93" s="5" t="s">
        <v>12</v>
      </c>
      <c r="S93" s="5" t="s">
        <v>12</v>
      </c>
      <c r="V93" s="5" t="s">
        <v>12</v>
      </c>
      <c r="W93" s="5" t="s">
        <v>12</v>
      </c>
      <c r="X93" s="5" t="s">
        <v>12</v>
      </c>
      <c r="Y93" s="12">
        <v>3.7999999999999998E-11</v>
      </c>
      <c r="Z93" s="139">
        <v>42</v>
      </c>
      <c r="AA93" s="139"/>
      <c r="AB93" s="22" t="s">
        <v>152</v>
      </c>
      <c r="AC93" s="73"/>
      <c r="AD93" s="5" t="s">
        <v>12</v>
      </c>
      <c r="AE93" s="5" t="s">
        <v>12</v>
      </c>
      <c r="AF93" s="5" t="s">
        <v>12</v>
      </c>
      <c r="AG93" s="5" t="s">
        <v>12</v>
      </c>
    </row>
    <row r="94" spans="1:33" ht="18.75" x14ac:dyDescent="0.35">
      <c r="A94" s="8">
        <v>91</v>
      </c>
      <c r="B94" s="1" t="s">
        <v>28</v>
      </c>
      <c r="C94" s="1" t="s">
        <v>1</v>
      </c>
      <c r="D94" s="1" t="s">
        <v>72</v>
      </c>
      <c r="E94" s="2" t="s">
        <v>0</v>
      </c>
      <c r="F94" s="1" t="s">
        <v>13</v>
      </c>
      <c r="G94" s="1" t="s">
        <v>1</v>
      </c>
      <c r="H94" s="1" t="s">
        <v>24</v>
      </c>
      <c r="I94" s="5" t="s">
        <v>12</v>
      </c>
      <c r="J94" s="5" t="s">
        <v>12</v>
      </c>
      <c r="K94" s="5" t="s">
        <v>12</v>
      </c>
      <c r="L94" s="4">
        <f>0.000000000127*$B$1^-0.187*EXP(-45/$B$1)</f>
        <v>3.6321662216515799E-11</v>
      </c>
      <c r="M94" s="139">
        <v>34</v>
      </c>
      <c r="N94" s="139"/>
      <c r="O94" s="9" t="s">
        <v>288</v>
      </c>
      <c r="P94" s="5" t="s">
        <v>12</v>
      </c>
      <c r="Q94" s="5" t="s">
        <v>12</v>
      </c>
      <c r="R94" s="4">
        <f>0.00000000000417*($B$1/298)*EXP(-11400/(8.314*$B$1))</f>
        <v>4.4449213532279598E-13</v>
      </c>
      <c r="S94" s="5" t="s">
        <v>12</v>
      </c>
      <c r="T94" s="81" t="s">
        <v>417</v>
      </c>
      <c r="U94" s="55" t="s">
        <v>419</v>
      </c>
      <c r="V94" s="5" t="s">
        <v>12</v>
      </c>
      <c r="W94" s="5" t="s">
        <v>12</v>
      </c>
      <c r="X94" s="5" t="s">
        <v>12</v>
      </c>
      <c r="Y94" s="5" t="s">
        <v>12</v>
      </c>
      <c r="AD94" s="5" t="s">
        <v>12</v>
      </c>
      <c r="AE94" s="5" t="s">
        <v>12</v>
      </c>
      <c r="AF94" s="5" t="s">
        <v>12</v>
      </c>
      <c r="AG94" s="5" t="s">
        <v>12</v>
      </c>
    </row>
    <row r="95" spans="1:33" ht="18" x14ac:dyDescent="0.35">
      <c r="A95" s="8">
        <v>92</v>
      </c>
      <c r="B95" s="1" t="s">
        <v>28</v>
      </c>
      <c r="C95" s="1" t="s">
        <v>1</v>
      </c>
      <c r="D95" s="1" t="s">
        <v>43</v>
      </c>
      <c r="E95" s="2" t="s">
        <v>0</v>
      </c>
      <c r="F95" s="1" t="s">
        <v>24</v>
      </c>
      <c r="G95" s="1" t="s">
        <v>1</v>
      </c>
      <c r="H95" s="1" t="s">
        <v>73</v>
      </c>
      <c r="I95" s="5" t="s">
        <v>12</v>
      </c>
      <c r="J95" s="5" t="s">
        <v>12</v>
      </c>
      <c r="K95" s="5" t="s">
        <v>12</v>
      </c>
      <c r="L95" s="4">
        <f>0.00000000000000294*($B$1/298)*EXP(-55700/(8.314*$B$1))</f>
        <v>7.0913893298129942E-21</v>
      </c>
      <c r="M95" s="139">
        <v>43</v>
      </c>
      <c r="N95" s="139"/>
      <c r="O95" s="9" t="s">
        <v>289</v>
      </c>
      <c r="P95" s="5" t="s">
        <v>12</v>
      </c>
      <c r="Q95" s="5" t="s">
        <v>12</v>
      </c>
      <c r="R95" s="5" t="s">
        <v>12</v>
      </c>
      <c r="S95" s="5" t="s">
        <v>12</v>
      </c>
      <c r="T95" s="85"/>
      <c r="V95" s="5" t="s">
        <v>12</v>
      </c>
      <c r="W95" s="5" t="s">
        <v>12</v>
      </c>
      <c r="X95" s="5" t="s">
        <v>12</v>
      </c>
      <c r="Y95" s="4">
        <f>0.000000000058*($B$1/298)*EXP(831/(8.314*$B$1))</f>
        <v>1.1849810016858163E-10</v>
      </c>
      <c r="Z95" s="144">
        <v>20</v>
      </c>
      <c r="AA95" s="144"/>
      <c r="AB95" s="22" t="s">
        <v>218</v>
      </c>
      <c r="AC95" s="73"/>
      <c r="AD95" s="5" t="s">
        <v>12</v>
      </c>
      <c r="AE95" s="5" t="s">
        <v>12</v>
      </c>
      <c r="AF95" s="5" t="s">
        <v>12</v>
      </c>
      <c r="AG95" s="5" t="s">
        <v>12</v>
      </c>
    </row>
    <row r="96" spans="1:33" ht="18" x14ac:dyDescent="0.35">
      <c r="A96" s="8">
        <v>93</v>
      </c>
      <c r="B96" s="1" t="s">
        <v>24</v>
      </c>
      <c r="C96" s="1" t="s">
        <v>1</v>
      </c>
      <c r="D96" s="1" t="s">
        <v>55</v>
      </c>
      <c r="E96" s="2" t="s">
        <v>0</v>
      </c>
      <c r="F96" s="1" t="s">
        <v>28</v>
      </c>
      <c r="G96" s="1" t="s">
        <v>1</v>
      </c>
      <c r="H96" s="1" t="s">
        <v>41</v>
      </c>
      <c r="I96" s="5" t="s">
        <v>12</v>
      </c>
      <c r="J96" s="5" t="s">
        <v>12</v>
      </c>
      <c r="K96" s="5" t="s">
        <v>12</v>
      </c>
      <c r="L96" s="4">
        <f>0.0000000000062*($B$1/298)*EXP(-1210/(8.314*$B$1))</f>
        <v>7.7384450473457806E-12</v>
      </c>
      <c r="M96" s="139">
        <v>10</v>
      </c>
      <c r="N96" s="139"/>
      <c r="O96" s="9" t="s">
        <v>291</v>
      </c>
      <c r="P96" s="5" t="s">
        <v>12</v>
      </c>
      <c r="Q96" s="5" t="s">
        <v>12</v>
      </c>
      <c r="R96" s="5" t="s">
        <v>12</v>
      </c>
      <c r="S96" s="5" t="s">
        <v>12</v>
      </c>
      <c r="V96" s="5" t="s">
        <v>12</v>
      </c>
      <c r="W96" s="5" t="s">
        <v>12</v>
      </c>
      <c r="X96" s="5" t="s">
        <v>12</v>
      </c>
      <c r="Y96" s="5" t="s">
        <v>12</v>
      </c>
      <c r="AD96" s="5" t="s">
        <v>12</v>
      </c>
      <c r="AE96" s="5" t="s">
        <v>12</v>
      </c>
      <c r="AF96" s="5" t="s">
        <v>12</v>
      </c>
      <c r="AG96" s="5" t="s">
        <v>12</v>
      </c>
    </row>
    <row r="97" spans="1:33" ht="18" x14ac:dyDescent="0.35">
      <c r="A97" s="8">
        <v>94</v>
      </c>
      <c r="B97" s="1" t="s">
        <v>24</v>
      </c>
      <c r="C97" s="1" t="s">
        <v>1</v>
      </c>
      <c r="D97" s="1" t="s">
        <v>38</v>
      </c>
      <c r="E97" s="2" t="s">
        <v>0</v>
      </c>
      <c r="F97" s="1" t="s">
        <v>25</v>
      </c>
      <c r="G97" s="1" t="s">
        <v>1</v>
      </c>
      <c r="H97" s="1" t="s">
        <v>39</v>
      </c>
      <c r="I97" s="5" t="s">
        <v>12</v>
      </c>
      <c r="J97" s="5" t="s">
        <v>12</v>
      </c>
      <c r="K97" s="5" t="s">
        <v>12</v>
      </c>
      <c r="L97" s="4">
        <f>9.11E-19*$B$1^2.47*EXP(-726/$B$1)</f>
        <v>9.7512536451968572E-13</v>
      </c>
      <c r="M97" s="139" t="s">
        <v>385</v>
      </c>
      <c r="N97" s="139"/>
      <c r="O97" s="9" t="s">
        <v>188</v>
      </c>
      <c r="P97" s="5" t="s">
        <v>12</v>
      </c>
      <c r="Q97" s="5" t="s">
        <v>12</v>
      </c>
      <c r="R97" s="5" t="s">
        <v>12</v>
      </c>
      <c r="S97" s="4">
        <f>0.0000000000108*($B$1/298)*EXP(-11470/(8.314*$B$1))</f>
        <v>1.1319089891354457E-12</v>
      </c>
      <c r="T97" s="92">
        <v>44</v>
      </c>
      <c r="U97" s="55" t="s">
        <v>200</v>
      </c>
      <c r="V97" s="5" t="s">
        <v>12</v>
      </c>
      <c r="W97" s="5" t="s">
        <v>12</v>
      </c>
      <c r="X97" s="5" t="s">
        <v>12</v>
      </c>
      <c r="Y97" s="5" t="s">
        <v>12</v>
      </c>
      <c r="AD97" s="5" t="s">
        <v>12</v>
      </c>
      <c r="AE97" s="5" t="s">
        <v>12</v>
      </c>
      <c r="AF97" s="5" t="s">
        <v>12</v>
      </c>
      <c r="AG97" s="5" t="s">
        <v>12</v>
      </c>
    </row>
    <row r="98" spans="1:33" ht="18" x14ac:dyDescent="0.35">
      <c r="A98" s="8">
        <v>95</v>
      </c>
      <c r="B98" s="1" t="s">
        <v>24</v>
      </c>
      <c r="C98" s="1" t="s">
        <v>1</v>
      </c>
      <c r="D98" s="1" t="s">
        <v>39</v>
      </c>
      <c r="E98" s="2" t="s">
        <v>0</v>
      </c>
      <c r="F98" s="1" t="s">
        <v>25</v>
      </c>
      <c r="G98" s="1" t="s">
        <v>1</v>
      </c>
      <c r="H98" s="1" t="s">
        <v>65</v>
      </c>
      <c r="I98" s="5" t="s">
        <v>12</v>
      </c>
      <c r="J98" s="5" t="s">
        <v>12</v>
      </c>
      <c r="K98" s="5" t="s">
        <v>12</v>
      </c>
      <c r="L98" s="4">
        <f>0.00000000082*$B$1/298*EXP(-27600/(8.314*$B$1))</f>
        <v>1.7490130382419563E-12</v>
      </c>
      <c r="M98" s="139">
        <v>45</v>
      </c>
      <c r="N98" s="139"/>
      <c r="O98" s="9" t="s">
        <v>290</v>
      </c>
      <c r="P98" s="5" t="s">
        <v>12</v>
      </c>
      <c r="Q98" s="5" t="s">
        <v>12</v>
      </c>
      <c r="R98" s="5" t="s">
        <v>12</v>
      </c>
      <c r="S98" s="5" t="s">
        <v>12</v>
      </c>
      <c r="V98" s="5" t="s">
        <v>12</v>
      </c>
      <c r="W98" s="5" t="s">
        <v>12</v>
      </c>
      <c r="X98" s="5" t="s">
        <v>12</v>
      </c>
      <c r="Y98" s="5" t="s">
        <v>12</v>
      </c>
      <c r="AD98" s="5" t="s">
        <v>12</v>
      </c>
      <c r="AE98" s="5" t="s">
        <v>12</v>
      </c>
      <c r="AF98" s="5" t="s">
        <v>12</v>
      </c>
      <c r="AG98" s="5" t="s">
        <v>12</v>
      </c>
    </row>
    <row r="99" spans="1:33" ht="18" x14ac:dyDescent="0.35">
      <c r="A99" s="8">
        <v>96</v>
      </c>
      <c r="B99" s="1" t="s">
        <v>24</v>
      </c>
      <c r="C99" s="1" t="s">
        <v>1</v>
      </c>
      <c r="D99" s="1" t="s">
        <v>76</v>
      </c>
      <c r="E99" s="2" t="s">
        <v>0</v>
      </c>
      <c r="F99" s="1" t="s">
        <v>13</v>
      </c>
      <c r="G99" s="1" t="s">
        <v>1</v>
      </c>
      <c r="H99" s="1" t="s">
        <v>77</v>
      </c>
      <c r="I99" s="5" t="s">
        <v>12</v>
      </c>
      <c r="J99" s="5" t="s">
        <v>12</v>
      </c>
      <c r="K99" s="5" t="s">
        <v>12</v>
      </c>
      <c r="L99" s="4">
        <f>0.000000000128*($B$1/298)*EXP(-136000/(8.314*$B$1))</f>
        <v>1.1728771848938525E-24</v>
      </c>
      <c r="M99" s="139">
        <v>46</v>
      </c>
      <c r="N99" s="139"/>
      <c r="O99" s="9" t="s">
        <v>143</v>
      </c>
      <c r="P99" s="5" t="s">
        <v>12</v>
      </c>
      <c r="Q99" s="5" t="s">
        <v>12</v>
      </c>
      <c r="R99" s="5" t="s">
        <v>12</v>
      </c>
      <c r="S99" s="5" t="s">
        <v>12</v>
      </c>
      <c r="V99" s="5" t="s">
        <v>12</v>
      </c>
      <c r="W99" s="5" t="s">
        <v>12</v>
      </c>
      <c r="X99" s="5" t="s">
        <v>12</v>
      </c>
      <c r="Y99" s="5" t="s">
        <v>12</v>
      </c>
      <c r="AD99" s="5" t="s">
        <v>12</v>
      </c>
      <c r="AE99" s="5" t="s">
        <v>12</v>
      </c>
      <c r="AF99" s="5" t="s">
        <v>12</v>
      </c>
      <c r="AG99" s="5" t="s">
        <v>12</v>
      </c>
    </row>
    <row r="100" spans="1:33" x14ac:dyDescent="0.25">
      <c r="A100" s="8">
        <v>97</v>
      </c>
      <c r="B100" s="1" t="s">
        <v>24</v>
      </c>
      <c r="C100" s="1" t="s">
        <v>1</v>
      </c>
      <c r="D100" s="1" t="s">
        <v>43</v>
      </c>
      <c r="E100" s="2" t="s">
        <v>0</v>
      </c>
      <c r="F100" s="1" t="s">
        <v>73</v>
      </c>
      <c r="G100" s="1"/>
      <c r="H100" s="1"/>
      <c r="I100" s="5" t="s">
        <v>12</v>
      </c>
      <c r="J100" s="5" t="s">
        <v>12</v>
      </c>
      <c r="K100" s="5" t="s">
        <v>12</v>
      </c>
      <c r="L100" s="4">
        <f>0.0000000000603*($B$1/298)*EXP(-99.77/(8.314*$B$1))</f>
        <v>9.8400928602945529E-11</v>
      </c>
      <c r="M100" s="139">
        <v>47</v>
      </c>
      <c r="N100" s="139"/>
      <c r="O100" s="9" t="s">
        <v>446</v>
      </c>
      <c r="P100" s="5" t="s">
        <v>12</v>
      </c>
      <c r="Q100" s="5" t="s">
        <v>12</v>
      </c>
      <c r="R100" s="5" t="s">
        <v>12</v>
      </c>
      <c r="S100" s="5" t="s">
        <v>12</v>
      </c>
      <c r="T100" s="85"/>
      <c r="V100" s="5" t="s">
        <v>12</v>
      </c>
      <c r="W100" s="5" t="s">
        <v>12</v>
      </c>
      <c r="X100" s="5" t="s">
        <v>12</v>
      </c>
      <c r="Y100" s="5" t="s">
        <v>12</v>
      </c>
      <c r="AD100" s="5" t="s">
        <v>12</v>
      </c>
      <c r="AE100" s="5" t="s">
        <v>12</v>
      </c>
      <c r="AF100" s="5" t="s">
        <v>12</v>
      </c>
      <c r="AG100" s="5" t="s">
        <v>12</v>
      </c>
    </row>
    <row r="101" spans="1:33" ht="18" x14ac:dyDescent="0.35">
      <c r="A101" s="8">
        <v>98</v>
      </c>
      <c r="B101" s="1" t="s">
        <v>24</v>
      </c>
      <c r="C101" s="1" t="s">
        <v>1</v>
      </c>
      <c r="D101" s="1" t="s">
        <v>44</v>
      </c>
      <c r="E101" s="2" t="s">
        <v>0</v>
      </c>
      <c r="F101" s="1" t="s">
        <v>75</v>
      </c>
      <c r="G101" s="1"/>
      <c r="H101" s="1"/>
      <c r="I101" s="5" t="s">
        <v>12</v>
      </c>
      <c r="J101" s="5" t="s">
        <v>12</v>
      </c>
      <c r="K101" s="5" t="s">
        <v>12</v>
      </c>
      <c r="L101" s="4">
        <f>0.0000000001*($B$1/298)^-1</f>
        <v>5.9821338954130286E-11</v>
      </c>
      <c r="M101" s="139" t="s">
        <v>408</v>
      </c>
      <c r="N101" s="139"/>
      <c r="O101" s="9" t="s">
        <v>265</v>
      </c>
      <c r="P101" s="5" t="s">
        <v>12</v>
      </c>
      <c r="Q101" s="5" t="s">
        <v>12</v>
      </c>
      <c r="R101" s="5" t="s">
        <v>12</v>
      </c>
      <c r="S101" s="5" t="s">
        <v>12</v>
      </c>
      <c r="V101" s="5" t="s">
        <v>12</v>
      </c>
      <c r="W101" s="5" t="s">
        <v>12</v>
      </c>
      <c r="X101" s="5" t="s">
        <v>12</v>
      </c>
      <c r="Y101" s="5" t="s">
        <v>12</v>
      </c>
      <c r="AD101" s="5" t="s">
        <v>12</v>
      </c>
      <c r="AE101" s="5" t="s">
        <v>12</v>
      </c>
      <c r="AF101" s="5" t="s">
        <v>12</v>
      </c>
      <c r="AG101" s="5" t="s">
        <v>12</v>
      </c>
    </row>
    <row r="102" spans="1:33" ht="18" x14ac:dyDescent="0.35">
      <c r="A102" s="8">
        <v>99</v>
      </c>
      <c r="B102" s="1" t="s">
        <v>24</v>
      </c>
      <c r="C102" s="1" t="s">
        <v>1</v>
      </c>
      <c r="D102" s="1" t="s">
        <v>392</v>
      </c>
      <c r="E102" s="2" t="s">
        <v>0</v>
      </c>
      <c r="F102" s="1" t="s">
        <v>28</v>
      </c>
      <c r="G102" s="1" t="s">
        <v>1</v>
      </c>
      <c r="H102" s="1" t="s">
        <v>41</v>
      </c>
      <c r="I102" s="5" t="s">
        <v>12</v>
      </c>
      <c r="J102" s="5" t="s">
        <v>12</v>
      </c>
      <c r="K102" s="5" t="s">
        <v>12</v>
      </c>
      <c r="L102" s="12" t="s">
        <v>74</v>
      </c>
      <c r="M102" s="139">
        <v>10</v>
      </c>
      <c r="N102" s="139"/>
      <c r="O102" s="9" t="s">
        <v>291</v>
      </c>
      <c r="P102" s="5" t="s">
        <v>12</v>
      </c>
      <c r="Q102" s="5" t="s">
        <v>12</v>
      </c>
      <c r="R102" s="5" t="s">
        <v>12</v>
      </c>
      <c r="S102" s="5" t="s">
        <v>12</v>
      </c>
      <c r="V102" s="5" t="s">
        <v>12</v>
      </c>
      <c r="W102" s="5" t="s">
        <v>12</v>
      </c>
      <c r="X102" s="5" t="s">
        <v>12</v>
      </c>
      <c r="Y102" s="5" t="s">
        <v>12</v>
      </c>
      <c r="AD102" s="5" t="s">
        <v>12</v>
      </c>
      <c r="AE102" s="5" t="s">
        <v>12</v>
      </c>
      <c r="AF102" s="5" t="s">
        <v>12</v>
      </c>
      <c r="AG102" s="5" t="s">
        <v>12</v>
      </c>
    </row>
    <row r="103" spans="1:33" ht="18" x14ac:dyDescent="0.35">
      <c r="A103" s="8">
        <v>100</v>
      </c>
      <c r="B103" s="1" t="s">
        <v>24</v>
      </c>
      <c r="C103" s="1" t="s">
        <v>1</v>
      </c>
      <c r="D103" s="1" t="s">
        <v>41</v>
      </c>
      <c r="E103" s="2" t="s">
        <v>0</v>
      </c>
      <c r="F103" s="1" t="s">
        <v>13</v>
      </c>
      <c r="G103" s="1" t="s">
        <v>1</v>
      </c>
      <c r="H103" s="1" t="s">
        <v>44</v>
      </c>
      <c r="I103" s="5" t="s">
        <v>12</v>
      </c>
      <c r="J103" s="5" t="s">
        <v>12</v>
      </c>
      <c r="K103" s="5" t="s">
        <v>12</v>
      </c>
      <c r="L103" s="4">
        <f>0.00000000119*$B$1^0.6*EXP(58/$B$1)</f>
        <v>5.5530079280349208E-8</v>
      </c>
      <c r="M103" s="139">
        <v>36</v>
      </c>
      <c r="N103" s="139"/>
      <c r="O103" s="9" t="s">
        <v>292</v>
      </c>
      <c r="P103" s="5" t="s">
        <v>12</v>
      </c>
      <c r="Q103" s="5" t="s">
        <v>12</v>
      </c>
      <c r="R103" s="5" t="s">
        <v>12</v>
      </c>
      <c r="S103" s="4">
        <f>0.000000000024</f>
        <v>2.4000000000000001E-11</v>
      </c>
      <c r="T103" s="81">
        <v>10</v>
      </c>
      <c r="U103" s="57" t="s">
        <v>218</v>
      </c>
      <c r="V103" s="5" t="s">
        <v>12</v>
      </c>
      <c r="W103" s="5" t="s">
        <v>12</v>
      </c>
      <c r="X103" s="5" t="s">
        <v>12</v>
      </c>
      <c r="Y103" s="5" t="s">
        <v>12</v>
      </c>
      <c r="AD103" s="5" t="s">
        <v>12</v>
      </c>
      <c r="AE103" s="5" t="s">
        <v>12</v>
      </c>
      <c r="AF103" s="5" t="s">
        <v>12</v>
      </c>
      <c r="AG103" s="5" t="s">
        <v>12</v>
      </c>
    </row>
    <row r="104" spans="1:33" ht="18" x14ac:dyDescent="0.35">
      <c r="A104" s="8">
        <v>101</v>
      </c>
      <c r="B104" s="1" t="s">
        <v>24</v>
      </c>
      <c r="C104" s="1" t="s">
        <v>1</v>
      </c>
      <c r="D104" s="1" t="s">
        <v>32</v>
      </c>
      <c r="E104" s="2" t="s">
        <v>0</v>
      </c>
      <c r="F104" s="1" t="s">
        <v>25</v>
      </c>
      <c r="G104" s="1" t="s">
        <v>1</v>
      </c>
      <c r="H104" s="1" t="s">
        <v>6</v>
      </c>
      <c r="I104" s="5" t="s">
        <v>12</v>
      </c>
      <c r="J104" s="5" t="s">
        <v>12</v>
      </c>
      <c r="K104" s="5" t="s">
        <v>12</v>
      </c>
      <c r="L104" s="4">
        <f>0.00000000000263*($B$1/298)^1.67*EXP(-63800/(8.314*$B$1))</f>
        <v>1.26611083438473E-18</v>
      </c>
      <c r="M104" s="139">
        <v>48</v>
      </c>
      <c r="N104" s="139"/>
      <c r="O104" s="9" t="s">
        <v>157</v>
      </c>
      <c r="P104" s="5" t="s">
        <v>12</v>
      </c>
      <c r="Q104" s="5" t="s">
        <v>12</v>
      </c>
      <c r="R104" s="5" t="s">
        <v>12</v>
      </c>
      <c r="S104" s="4">
        <f>0.0000000000279*($B$1/298)*EXP(-72100/(8.314*$B$1))</f>
        <v>1.2831196711727516E-18</v>
      </c>
      <c r="T104" s="81" t="s">
        <v>417</v>
      </c>
      <c r="U104" s="55" t="s">
        <v>225</v>
      </c>
      <c r="V104" s="5" t="s">
        <v>12</v>
      </c>
      <c r="W104" s="5" t="s">
        <v>12</v>
      </c>
      <c r="X104" s="5" t="s">
        <v>12</v>
      </c>
      <c r="Y104" s="5" t="s">
        <v>12</v>
      </c>
      <c r="AD104" s="5" t="s">
        <v>12</v>
      </c>
      <c r="AE104" s="5" t="s">
        <v>12</v>
      </c>
      <c r="AF104" s="5" t="s">
        <v>12</v>
      </c>
      <c r="AG104" s="5" t="s">
        <v>12</v>
      </c>
    </row>
    <row r="105" spans="1:33" x14ac:dyDescent="0.25">
      <c r="A105" s="8">
        <v>102</v>
      </c>
      <c r="B105" s="1" t="s">
        <v>24</v>
      </c>
      <c r="C105" s="1" t="s">
        <v>1</v>
      </c>
      <c r="D105" s="1" t="s">
        <v>6</v>
      </c>
      <c r="E105" s="2" t="s">
        <v>0</v>
      </c>
      <c r="F105" s="1" t="s">
        <v>13</v>
      </c>
      <c r="G105" s="1" t="s">
        <v>1</v>
      </c>
      <c r="H105" s="1" t="s">
        <v>29</v>
      </c>
      <c r="I105" s="5" t="s">
        <v>12</v>
      </c>
      <c r="J105" s="5" t="s">
        <v>12</v>
      </c>
      <c r="K105" s="5" t="s">
        <v>12</v>
      </c>
      <c r="L105" s="4">
        <f>0.000000000251*($B$1/298)*EXP(-268000/(8.314*$B$1))</f>
        <v>3.3117621954636895E-38</v>
      </c>
      <c r="M105" s="139">
        <v>49</v>
      </c>
      <c r="N105" s="139"/>
      <c r="O105" s="9" t="s">
        <v>293</v>
      </c>
      <c r="P105" s="5" t="s">
        <v>12</v>
      </c>
      <c r="Q105" s="5" t="s">
        <v>12</v>
      </c>
      <c r="R105" s="5" t="s">
        <v>12</v>
      </c>
      <c r="S105" s="5" t="s">
        <v>12</v>
      </c>
      <c r="T105" s="85"/>
      <c r="V105" s="5" t="s">
        <v>12</v>
      </c>
      <c r="W105" s="5" t="s">
        <v>12</v>
      </c>
      <c r="X105" s="5" t="s">
        <v>12</v>
      </c>
      <c r="Y105" s="5" t="s">
        <v>12</v>
      </c>
      <c r="AD105" s="5" t="s">
        <v>12</v>
      </c>
      <c r="AE105" s="5" t="s">
        <v>12</v>
      </c>
      <c r="AF105" s="5" t="s">
        <v>12</v>
      </c>
      <c r="AG105" s="5" t="s">
        <v>12</v>
      </c>
    </row>
    <row r="106" spans="1:33" ht="18" x14ac:dyDescent="0.35">
      <c r="A106" s="8">
        <v>103</v>
      </c>
      <c r="B106" s="1" t="s">
        <v>24</v>
      </c>
      <c r="C106" s="1" t="s">
        <v>1</v>
      </c>
      <c r="D106" s="1" t="s">
        <v>7</v>
      </c>
      <c r="E106" s="2" t="s">
        <v>0</v>
      </c>
      <c r="F106" s="1" t="s">
        <v>25</v>
      </c>
      <c r="G106" s="1" t="s">
        <v>1</v>
      </c>
      <c r="H106" s="1" t="s">
        <v>23</v>
      </c>
      <c r="I106" s="5" t="s">
        <v>12</v>
      </c>
      <c r="J106" s="5" t="s">
        <v>12</v>
      </c>
      <c r="K106" s="5" t="s">
        <v>12</v>
      </c>
      <c r="L106" s="4">
        <f>0.000000000018*($B$1/298)*EXP(1413/(8.314*$B$1))</f>
        <v>4.2323836086614437E-11</v>
      </c>
      <c r="M106" s="139">
        <v>50</v>
      </c>
      <c r="N106" s="139"/>
      <c r="O106" s="9" t="s">
        <v>394</v>
      </c>
      <c r="P106" s="5" t="s">
        <v>12</v>
      </c>
      <c r="Q106" s="5" t="s">
        <v>12</v>
      </c>
      <c r="R106" s="5" t="s">
        <v>12</v>
      </c>
      <c r="S106" s="5" t="s">
        <v>12</v>
      </c>
      <c r="T106" s="85"/>
      <c r="V106" s="5" t="s">
        <v>12</v>
      </c>
      <c r="W106" s="5" t="s">
        <v>12</v>
      </c>
      <c r="X106" s="5" t="s">
        <v>12</v>
      </c>
      <c r="Y106" s="5" t="s">
        <v>12</v>
      </c>
      <c r="AD106" s="5" t="s">
        <v>12</v>
      </c>
      <c r="AE106" s="5" t="s">
        <v>12</v>
      </c>
      <c r="AF106" s="5" t="s">
        <v>12</v>
      </c>
      <c r="AG106" s="5" t="s">
        <v>12</v>
      </c>
    </row>
    <row r="107" spans="1:33" ht="18" x14ac:dyDescent="0.35">
      <c r="A107" s="8">
        <v>104</v>
      </c>
      <c r="B107" s="1" t="s">
        <v>24</v>
      </c>
      <c r="C107" s="1" t="s">
        <v>1</v>
      </c>
      <c r="D107" s="1" t="s">
        <v>57</v>
      </c>
      <c r="E107" s="2" t="s">
        <v>0</v>
      </c>
      <c r="F107" s="1" t="s">
        <v>25</v>
      </c>
      <c r="G107" s="1" t="s">
        <v>1</v>
      </c>
      <c r="H107" s="1" t="s">
        <v>7</v>
      </c>
      <c r="I107" s="5" t="s">
        <v>12</v>
      </c>
      <c r="J107" s="5" t="s">
        <v>12</v>
      </c>
      <c r="K107" s="5" t="s">
        <v>12</v>
      </c>
      <c r="L107" s="4">
        <f>0.000000000011*($B$1/298)*EXP(-8148/(8.314*$B$1))</f>
        <v>2.5711582654530824E-12</v>
      </c>
      <c r="M107" s="139">
        <v>10</v>
      </c>
      <c r="N107" s="139"/>
      <c r="O107" s="9" t="s">
        <v>294</v>
      </c>
      <c r="P107" s="5" t="s">
        <v>12</v>
      </c>
      <c r="Q107" s="5" t="s">
        <v>12</v>
      </c>
      <c r="R107" s="5" t="s">
        <v>12</v>
      </c>
      <c r="S107" s="5" t="s">
        <v>12</v>
      </c>
      <c r="T107" s="85"/>
      <c r="V107" s="5" t="s">
        <v>12</v>
      </c>
      <c r="W107" s="5" t="s">
        <v>12</v>
      </c>
      <c r="X107" s="5" t="s">
        <v>12</v>
      </c>
      <c r="Y107" s="5" t="s">
        <v>12</v>
      </c>
      <c r="AD107" s="5" t="s">
        <v>12</v>
      </c>
      <c r="AE107" s="5" t="s">
        <v>12</v>
      </c>
      <c r="AF107" s="5" t="s">
        <v>12</v>
      </c>
      <c r="AG107" s="5" t="s">
        <v>12</v>
      </c>
    </row>
    <row r="108" spans="1:33" x14ac:dyDescent="0.25">
      <c r="A108" s="8">
        <v>105</v>
      </c>
      <c r="B108" s="1" t="s">
        <v>24</v>
      </c>
      <c r="C108" s="1" t="s">
        <v>1</v>
      </c>
      <c r="D108" s="1" t="s">
        <v>29</v>
      </c>
      <c r="E108" s="2" t="s">
        <v>0</v>
      </c>
      <c r="F108" s="1" t="s">
        <v>24</v>
      </c>
      <c r="G108" s="1" t="s">
        <v>1</v>
      </c>
      <c r="H108" s="1" t="s">
        <v>29</v>
      </c>
      <c r="I108" s="5" t="s">
        <v>12</v>
      </c>
      <c r="J108" s="5" t="s">
        <v>12</v>
      </c>
      <c r="K108" s="5" t="s">
        <v>12</v>
      </c>
      <c r="L108" s="4">
        <f>0.0000000000731*($B$1/298)*EXP(-342000/(8.314*$B$1))</f>
        <v>1.6772040981368825E-46</v>
      </c>
      <c r="M108" s="139" t="s">
        <v>417</v>
      </c>
      <c r="N108" s="139"/>
      <c r="O108" s="9" t="s">
        <v>295</v>
      </c>
      <c r="P108" s="5" t="s">
        <v>12</v>
      </c>
      <c r="Q108" s="5" t="s">
        <v>12</v>
      </c>
      <c r="R108" s="5" t="s">
        <v>12</v>
      </c>
      <c r="S108" s="5" t="s">
        <v>12</v>
      </c>
      <c r="V108" s="5" t="s">
        <v>12</v>
      </c>
      <c r="W108" s="5" t="s">
        <v>12</v>
      </c>
      <c r="X108" s="5" t="s">
        <v>12</v>
      </c>
      <c r="Y108" s="5" t="s">
        <v>12</v>
      </c>
      <c r="AD108" s="5" t="s">
        <v>12</v>
      </c>
      <c r="AE108" s="5" t="s">
        <v>12</v>
      </c>
      <c r="AF108" s="5" t="s">
        <v>12</v>
      </c>
      <c r="AG108" s="5" t="s">
        <v>12</v>
      </c>
    </row>
    <row r="109" spans="1:33" x14ac:dyDescent="0.25">
      <c r="A109" s="8">
        <v>106</v>
      </c>
      <c r="B109" s="1" t="s">
        <v>25</v>
      </c>
      <c r="E109" s="2" t="s">
        <v>0</v>
      </c>
      <c r="F109" s="1" t="s">
        <v>24</v>
      </c>
      <c r="G109" s="1" t="s">
        <v>1</v>
      </c>
      <c r="H109" s="1" t="s">
        <v>29</v>
      </c>
      <c r="I109" s="5" t="s">
        <v>12</v>
      </c>
      <c r="J109" s="5" t="s">
        <v>12</v>
      </c>
      <c r="K109" s="5" t="s">
        <v>12</v>
      </c>
      <c r="L109" s="4">
        <v>1.6E-7</v>
      </c>
      <c r="M109" s="139">
        <v>42</v>
      </c>
      <c r="N109" s="139"/>
      <c r="O109" s="27" t="s">
        <v>287</v>
      </c>
      <c r="P109" s="5" t="s">
        <v>12</v>
      </c>
      <c r="Q109" s="5" t="s">
        <v>12</v>
      </c>
      <c r="R109" s="5" t="s">
        <v>12</v>
      </c>
      <c r="S109" s="5" t="s">
        <v>12</v>
      </c>
      <c r="V109" s="5" t="s">
        <v>12</v>
      </c>
      <c r="W109" s="5" t="s">
        <v>12</v>
      </c>
      <c r="X109" s="5" t="s">
        <v>12</v>
      </c>
      <c r="Y109" s="4">
        <v>4.2999999999999996E-9</v>
      </c>
      <c r="Z109" s="139">
        <v>42</v>
      </c>
      <c r="AA109" s="139"/>
      <c r="AB109" s="22" t="s">
        <v>152</v>
      </c>
      <c r="AC109" s="74"/>
      <c r="AD109" s="5" t="s">
        <v>12</v>
      </c>
      <c r="AE109" s="5" t="s">
        <v>12</v>
      </c>
      <c r="AF109" s="5" t="s">
        <v>12</v>
      </c>
      <c r="AG109" s="5" t="s">
        <v>12</v>
      </c>
    </row>
    <row r="110" spans="1:33" ht="18" x14ac:dyDescent="0.35">
      <c r="A110" s="8">
        <v>107</v>
      </c>
      <c r="B110" s="1" t="s">
        <v>25</v>
      </c>
      <c r="C110" s="1" t="s">
        <v>1</v>
      </c>
      <c r="D110" s="1" t="s">
        <v>24</v>
      </c>
      <c r="E110" s="2" t="s">
        <v>0</v>
      </c>
      <c r="F110" s="1" t="s">
        <v>28</v>
      </c>
      <c r="G110" s="1" t="s">
        <v>1</v>
      </c>
      <c r="H110" s="1" t="s">
        <v>29</v>
      </c>
      <c r="I110" s="5" t="s">
        <v>12</v>
      </c>
      <c r="J110" s="5" t="s">
        <v>12</v>
      </c>
      <c r="K110" s="5" t="s">
        <v>12</v>
      </c>
      <c r="L110" s="4">
        <f>0.000000166*($B$1/298)*EXP(-199000/(8.314*$B$1))</f>
        <v>3.7662157978632943E-28</v>
      </c>
      <c r="M110" s="139" t="s">
        <v>417</v>
      </c>
      <c r="N110" s="139"/>
      <c r="O110" s="9" t="s">
        <v>296</v>
      </c>
      <c r="P110" s="5" t="s">
        <v>12</v>
      </c>
      <c r="Q110" s="5" t="s">
        <v>12</v>
      </c>
      <c r="R110" s="5" t="s">
        <v>12</v>
      </c>
      <c r="S110" s="5" t="s">
        <v>12</v>
      </c>
      <c r="V110" s="5" t="s">
        <v>12</v>
      </c>
      <c r="W110" s="5" t="s">
        <v>12</v>
      </c>
      <c r="X110" s="5" t="s">
        <v>12</v>
      </c>
      <c r="Y110" s="4">
        <f>0.000000000143*($B$1/298)*EXP(-4906/(8.314*$B$1))</f>
        <v>7.3119236983817847E-11</v>
      </c>
      <c r="Z110" s="139" t="s">
        <v>417</v>
      </c>
      <c r="AA110" s="139"/>
      <c r="AB110" s="22" t="s">
        <v>227</v>
      </c>
      <c r="AC110" s="73"/>
      <c r="AD110" s="5" t="s">
        <v>12</v>
      </c>
      <c r="AE110" s="5" t="s">
        <v>12</v>
      </c>
      <c r="AF110" s="5" t="s">
        <v>12</v>
      </c>
      <c r="AG110" s="5" t="s">
        <v>12</v>
      </c>
    </row>
    <row r="111" spans="1:33" x14ac:dyDescent="0.25">
      <c r="A111" s="8">
        <v>108</v>
      </c>
      <c r="B111" s="1" t="s">
        <v>25</v>
      </c>
      <c r="C111" s="1" t="s">
        <v>1</v>
      </c>
      <c r="D111" s="1" t="s">
        <v>43</v>
      </c>
      <c r="E111" s="2" t="s">
        <v>0</v>
      </c>
      <c r="F111" s="1" t="s">
        <v>47</v>
      </c>
      <c r="G111" s="1" t="s">
        <v>1</v>
      </c>
      <c r="H111" s="1" t="s">
        <v>24</v>
      </c>
      <c r="I111" s="5" t="s">
        <v>12</v>
      </c>
      <c r="J111" s="5" t="s">
        <v>12</v>
      </c>
      <c r="K111" s="5" t="s">
        <v>12</v>
      </c>
      <c r="L111" s="4">
        <f>0.0000000000262*($B$1/298)*EXP(-210000/(8.314*$B$1))</f>
        <v>4.1747163730210794E-33</v>
      </c>
      <c r="M111" s="139">
        <v>51</v>
      </c>
      <c r="N111" s="139"/>
      <c r="O111" s="9" t="s">
        <v>145</v>
      </c>
      <c r="P111" s="5" t="s">
        <v>12</v>
      </c>
      <c r="Q111" s="5" t="s">
        <v>12</v>
      </c>
      <c r="R111" s="5" t="s">
        <v>12</v>
      </c>
      <c r="S111" s="5" t="s">
        <v>12</v>
      </c>
      <c r="V111" s="5" t="s">
        <v>12</v>
      </c>
      <c r="W111" s="5" t="s">
        <v>12</v>
      </c>
      <c r="X111" s="5" t="s">
        <v>12</v>
      </c>
      <c r="Y111" s="5" t="s">
        <v>12</v>
      </c>
      <c r="AD111" s="5" t="s">
        <v>12</v>
      </c>
      <c r="AE111" s="5" t="s">
        <v>12</v>
      </c>
      <c r="AF111" s="5" t="s">
        <v>12</v>
      </c>
      <c r="AG111" s="5" t="s">
        <v>12</v>
      </c>
    </row>
    <row r="112" spans="1:33" ht="18" x14ac:dyDescent="0.35">
      <c r="A112" s="8">
        <v>109</v>
      </c>
      <c r="B112" s="1" t="s">
        <v>25</v>
      </c>
      <c r="C112" s="1" t="s">
        <v>1</v>
      </c>
      <c r="D112" s="1" t="s">
        <v>69</v>
      </c>
      <c r="E112" s="2" t="s">
        <v>0</v>
      </c>
      <c r="F112" s="1" t="s">
        <v>70</v>
      </c>
      <c r="G112" s="1" t="s">
        <v>1</v>
      </c>
      <c r="H112" s="1" t="s">
        <v>32</v>
      </c>
      <c r="I112" s="5" t="s">
        <v>12</v>
      </c>
      <c r="J112" s="5" t="s">
        <v>12</v>
      </c>
      <c r="K112" s="5" t="s">
        <v>12</v>
      </c>
      <c r="L112" s="4">
        <f>1.75E-22*$B$1^3.02*EXP(-5122/$B$1)</f>
        <v>8.3874679571401511E-19</v>
      </c>
      <c r="M112" s="139">
        <v>52</v>
      </c>
      <c r="N112" s="139"/>
      <c r="O112" s="138" t="s">
        <v>174</v>
      </c>
      <c r="P112" s="5" t="s">
        <v>12</v>
      </c>
      <c r="Q112" s="5" t="s">
        <v>12</v>
      </c>
      <c r="R112" s="5" t="s">
        <v>12</v>
      </c>
      <c r="S112" s="5" t="s">
        <v>12</v>
      </c>
      <c r="T112" s="85"/>
      <c r="V112" s="5" t="s">
        <v>12</v>
      </c>
      <c r="W112" s="5" t="s">
        <v>12</v>
      </c>
      <c r="X112" s="5" t="s">
        <v>12</v>
      </c>
      <c r="Y112" s="5" t="s">
        <v>12</v>
      </c>
      <c r="AD112" s="5" t="s">
        <v>12</v>
      </c>
      <c r="AE112" s="5" t="s">
        <v>12</v>
      </c>
      <c r="AF112" s="5" t="s">
        <v>12</v>
      </c>
      <c r="AG112" s="5" t="s">
        <v>12</v>
      </c>
    </row>
    <row r="113" spans="1:35" ht="18" x14ac:dyDescent="0.35">
      <c r="A113" s="8">
        <v>110</v>
      </c>
      <c r="B113" s="1" t="s">
        <v>25</v>
      </c>
      <c r="C113" s="1" t="s">
        <v>1</v>
      </c>
      <c r="D113" s="1" t="s">
        <v>71</v>
      </c>
      <c r="E113" s="2" t="s">
        <v>0</v>
      </c>
      <c r="F113" s="1" t="s">
        <v>70</v>
      </c>
      <c r="G113" s="1" t="s">
        <v>1</v>
      </c>
      <c r="H113" s="1" t="s">
        <v>32</v>
      </c>
      <c r="I113" s="5" t="s">
        <v>12</v>
      </c>
      <c r="J113" s="5" t="s">
        <v>12</v>
      </c>
      <c r="K113" s="5" t="s">
        <v>12</v>
      </c>
      <c r="L113" s="4">
        <f>1.15E-22*$B$1^3.12*EXP(-5867/$B$1)</f>
        <v>2.2989246869910792E-19</v>
      </c>
      <c r="M113" s="139"/>
      <c r="N113" s="139"/>
      <c r="O113" s="138"/>
      <c r="P113" s="5" t="s">
        <v>12</v>
      </c>
      <c r="Q113" s="5" t="s">
        <v>12</v>
      </c>
      <c r="R113" s="5" t="s">
        <v>12</v>
      </c>
      <c r="S113" s="5" t="s">
        <v>12</v>
      </c>
      <c r="T113" s="85"/>
      <c r="V113" s="5" t="s">
        <v>12</v>
      </c>
      <c r="W113" s="5" t="s">
        <v>12</v>
      </c>
      <c r="X113" s="5" t="s">
        <v>12</v>
      </c>
      <c r="Y113" s="5" t="s">
        <v>12</v>
      </c>
      <c r="AD113" s="5" t="s">
        <v>12</v>
      </c>
      <c r="AE113" s="5" t="s">
        <v>12</v>
      </c>
      <c r="AF113" s="5" t="s">
        <v>12</v>
      </c>
      <c r="AG113" s="5" t="s">
        <v>12</v>
      </c>
    </row>
    <row r="114" spans="1:35" ht="18" x14ac:dyDescent="0.35">
      <c r="A114" s="8">
        <v>111</v>
      </c>
      <c r="B114" s="1" t="s">
        <v>25</v>
      </c>
      <c r="C114" s="1" t="s">
        <v>1</v>
      </c>
      <c r="D114" s="1" t="s">
        <v>44</v>
      </c>
      <c r="E114" s="2" t="s">
        <v>0</v>
      </c>
      <c r="F114" s="1" t="s">
        <v>52</v>
      </c>
      <c r="G114" s="1" t="s">
        <v>1</v>
      </c>
      <c r="H114" s="1" t="s">
        <v>24</v>
      </c>
      <c r="I114" s="5" t="s">
        <v>12</v>
      </c>
      <c r="J114" s="5" t="s">
        <v>12</v>
      </c>
      <c r="K114" s="5" t="s">
        <v>12</v>
      </c>
      <c r="L114" s="4">
        <f>0.000000000000661*($B$1/298)*EXP(-98100/(8.314*$B$1))</f>
        <v>5.7079137981136755E-23</v>
      </c>
      <c r="M114" s="139">
        <v>53</v>
      </c>
      <c r="N114" s="139"/>
      <c r="O114" s="9" t="s">
        <v>146</v>
      </c>
      <c r="P114" s="5" t="s">
        <v>12</v>
      </c>
      <c r="Q114" s="5" t="s">
        <v>12</v>
      </c>
      <c r="R114" s="5" t="s">
        <v>12</v>
      </c>
      <c r="S114" s="5" t="s">
        <v>12</v>
      </c>
      <c r="V114" s="5" t="s">
        <v>12</v>
      </c>
      <c r="W114" s="5" t="s">
        <v>12</v>
      </c>
      <c r="X114" s="5" t="s">
        <v>12</v>
      </c>
      <c r="Y114" s="5" t="s">
        <v>12</v>
      </c>
      <c r="AD114" s="5" t="s">
        <v>12</v>
      </c>
      <c r="AE114" s="5" t="s">
        <v>12</v>
      </c>
      <c r="AF114" s="5" t="s">
        <v>12</v>
      </c>
      <c r="AG114" s="5" t="s">
        <v>12</v>
      </c>
    </row>
    <row r="115" spans="1:35" ht="18" x14ac:dyDescent="0.35">
      <c r="A115" s="8">
        <v>112</v>
      </c>
      <c r="B115" s="1" t="s">
        <v>25</v>
      </c>
      <c r="C115" s="1" t="s">
        <v>1</v>
      </c>
      <c r="D115" s="1" t="s">
        <v>41</v>
      </c>
      <c r="E115" s="2" t="s">
        <v>0</v>
      </c>
      <c r="F115" s="1" t="s">
        <v>42</v>
      </c>
      <c r="G115" s="1" t="s">
        <v>1</v>
      </c>
      <c r="H115" s="1" t="s">
        <v>24</v>
      </c>
      <c r="I115" s="5" t="s">
        <v>12</v>
      </c>
      <c r="J115" s="5" t="s">
        <v>12</v>
      </c>
      <c r="K115" s="5" t="s">
        <v>12</v>
      </c>
      <c r="L115" s="4">
        <f>0.00000000000402*($B$1/298)*EXP(-27700/(8.314*$B$1))</f>
        <v>8.3698783096701076E-15</v>
      </c>
      <c r="M115" s="139">
        <v>54</v>
      </c>
      <c r="N115" s="139"/>
      <c r="O115" s="9" t="s">
        <v>144</v>
      </c>
      <c r="P115" s="5" t="s">
        <v>12</v>
      </c>
      <c r="Q115" s="5" t="s">
        <v>12</v>
      </c>
      <c r="R115" s="5" t="s">
        <v>12</v>
      </c>
      <c r="S115" s="5" t="s">
        <v>12</v>
      </c>
      <c r="V115" s="5" t="s">
        <v>12</v>
      </c>
      <c r="W115" s="5" t="s">
        <v>12</v>
      </c>
      <c r="X115" s="5" t="s">
        <v>12</v>
      </c>
      <c r="Y115" s="12" t="s">
        <v>395</v>
      </c>
      <c r="Z115" s="147">
        <v>10</v>
      </c>
      <c r="AA115" s="147"/>
      <c r="AB115" s="49" t="s">
        <v>228</v>
      </c>
      <c r="AC115" s="74"/>
      <c r="AD115" s="5" t="s">
        <v>12</v>
      </c>
      <c r="AE115" s="5" t="s">
        <v>12</v>
      </c>
      <c r="AF115" s="5" t="s">
        <v>12</v>
      </c>
      <c r="AG115" s="5" t="s">
        <v>12</v>
      </c>
    </row>
    <row r="116" spans="1:35" ht="18" x14ac:dyDescent="0.35">
      <c r="A116" s="8">
        <v>113</v>
      </c>
      <c r="B116" s="1" t="s">
        <v>25</v>
      </c>
      <c r="C116" s="1" t="s">
        <v>1</v>
      </c>
      <c r="D116" s="1" t="s">
        <v>6</v>
      </c>
      <c r="E116" s="2" t="s">
        <v>0</v>
      </c>
      <c r="F116" s="1" t="s">
        <v>24</v>
      </c>
      <c r="G116" s="1" t="s">
        <v>1</v>
      </c>
      <c r="H116" s="1" t="s">
        <v>32</v>
      </c>
      <c r="I116" s="5" t="s">
        <v>12</v>
      </c>
      <c r="J116" s="5" t="s">
        <v>12</v>
      </c>
      <c r="K116" s="5" t="s">
        <v>12</v>
      </c>
      <c r="L116" s="4">
        <f>0.000000000000000881*$B$1^1.16*EXP(-62/$B$1)</f>
        <v>1.0467938309778501E-12</v>
      </c>
      <c r="M116" s="139" t="s">
        <v>449</v>
      </c>
      <c r="N116" s="139"/>
      <c r="O116" s="9" t="s">
        <v>298</v>
      </c>
      <c r="P116" s="5" t="s">
        <v>12</v>
      </c>
      <c r="Q116" s="5" t="s">
        <v>12</v>
      </c>
      <c r="R116" s="5" t="s">
        <v>12</v>
      </c>
      <c r="S116" s="4">
        <f>0.000000000000543*($B$1/298)^1.65*EXP(-931/(8.314*$B$1))</f>
        <v>1.0124220347580053E-12</v>
      </c>
      <c r="T116" s="92">
        <v>55</v>
      </c>
      <c r="U116" s="55" t="s">
        <v>201</v>
      </c>
      <c r="V116" s="5" t="s">
        <v>12</v>
      </c>
      <c r="W116" s="5" t="s">
        <v>12</v>
      </c>
      <c r="X116" s="5" t="s">
        <v>12</v>
      </c>
      <c r="Y116" s="5" t="s">
        <v>12</v>
      </c>
      <c r="AD116" s="5" t="s">
        <v>12</v>
      </c>
      <c r="AE116" s="5" t="s">
        <v>12</v>
      </c>
      <c r="AF116" s="5" t="s">
        <v>12</v>
      </c>
      <c r="AG116" s="5" t="s">
        <v>12</v>
      </c>
    </row>
    <row r="117" spans="1:35" x14ac:dyDescent="0.25">
      <c r="A117" s="8">
        <v>114</v>
      </c>
      <c r="B117" s="1" t="s">
        <v>25</v>
      </c>
      <c r="C117" s="1" t="s">
        <v>1</v>
      </c>
      <c r="D117" s="1" t="s">
        <v>14</v>
      </c>
      <c r="E117" s="2" t="s">
        <v>0</v>
      </c>
      <c r="F117" s="1" t="s">
        <v>24</v>
      </c>
      <c r="G117" s="1" t="s">
        <v>1</v>
      </c>
      <c r="H117" s="1" t="s">
        <v>6</v>
      </c>
      <c r="I117" s="5" t="s">
        <v>12</v>
      </c>
      <c r="J117" s="5" t="s">
        <v>12</v>
      </c>
      <c r="K117" s="5" t="s">
        <v>12</v>
      </c>
      <c r="L117" s="4">
        <f>9.748E-19*$B$1^2.114*EXP(-2025/$B$1)</f>
        <v>8.427720459506795E-15</v>
      </c>
      <c r="M117" s="139">
        <v>56</v>
      </c>
      <c r="N117" s="139"/>
      <c r="O117" s="24" t="s">
        <v>297</v>
      </c>
      <c r="P117" s="5" t="s">
        <v>12</v>
      </c>
      <c r="Q117" s="5" t="s">
        <v>12</v>
      </c>
      <c r="R117" s="5" t="s">
        <v>12</v>
      </c>
      <c r="S117" s="4">
        <f>0.00000000001*($B$1/298)*EXP(-27400/(8.314*$B$1))</f>
        <v>2.2384706394840629E-14</v>
      </c>
      <c r="T117" s="92">
        <v>20</v>
      </c>
      <c r="U117" s="55" t="s">
        <v>218</v>
      </c>
      <c r="V117" s="5" t="s">
        <v>12</v>
      </c>
      <c r="W117" s="5" t="s">
        <v>12</v>
      </c>
      <c r="X117" s="5" t="s">
        <v>12</v>
      </c>
      <c r="Y117" s="4">
        <f>0.0000000000098*($B$1/298)*EXP(-23800/(8.314*$B$1))</f>
        <v>5.2321142456726263E-14</v>
      </c>
      <c r="Z117" s="139" t="s">
        <v>417</v>
      </c>
      <c r="AA117" s="139"/>
      <c r="AB117" s="22" t="s">
        <v>229</v>
      </c>
      <c r="AC117" s="73"/>
      <c r="AD117" s="5" t="s">
        <v>12</v>
      </c>
      <c r="AE117" s="5" t="s">
        <v>12</v>
      </c>
      <c r="AF117" s="5" t="s">
        <v>12</v>
      </c>
      <c r="AG117" s="5" t="s">
        <v>12</v>
      </c>
    </row>
    <row r="118" spans="1:35" ht="18" x14ac:dyDescent="0.35">
      <c r="A118" s="8">
        <v>115</v>
      </c>
      <c r="B118" s="1" t="s">
        <v>25</v>
      </c>
      <c r="C118" s="1" t="s">
        <v>1</v>
      </c>
      <c r="D118" s="1" t="s">
        <v>29</v>
      </c>
      <c r="E118" s="2" t="s">
        <v>0</v>
      </c>
      <c r="F118" s="1" t="s">
        <v>24</v>
      </c>
      <c r="G118" s="1" t="s">
        <v>1</v>
      </c>
      <c r="H118" s="1" t="s">
        <v>31</v>
      </c>
      <c r="I118" s="5" t="s">
        <v>12</v>
      </c>
      <c r="J118" s="5" t="s">
        <v>12</v>
      </c>
      <c r="K118" s="5" t="s">
        <v>12</v>
      </c>
      <c r="L118" s="4">
        <f>0.0000000000239*EXP(-14400/(8.314*$B$1))</f>
        <v>7.3858237470661778E-13</v>
      </c>
      <c r="M118" s="139">
        <v>57</v>
      </c>
      <c r="N118" s="139"/>
      <c r="O118" s="24" t="s">
        <v>299</v>
      </c>
      <c r="P118" s="5" t="s">
        <v>12</v>
      </c>
      <c r="Q118" s="5" t="s">
        <v>12</v>
      </c>
      <c r="R118" s="5" t="s">
        <v>12</v>
      </c>
      <c r="S118" s="4">
        <f>0.00000000000241*($B$1/298)^1.44*EXP(-10300/(8.314*$B$1))</f>
        <v>4.2002536188387684E-13</v>
      </c>
      <c r="T118" s="92">
        <v>58</v>
      </c>
      <c r="U118" s="55" t="s">
        <v>202</v>
      </c>
      <c r="V118" s="5" t="s">
        <v>12</v>
      </c>
      <c r="W118" s="5" t="s">
        <v>12</v>
      </c>
      <c r="X118" s="5" t="s">
        <v>12</v>
      </c>
      <c r="Y118" s="4">
        <f>0.0000000000447*EXP(-18700/(8.314*$B$1))</f>
        <v>4.8910949537937883E-13</v>
      </c>
      <c r="Z118" s="139">
        <v>57</v>
      </c>
      <c r="AA118" s="139"/>
      <c r="AB118" s="15" t="s">
        <v>167</v>
      </c>
      <c r="AD118" s="5" t="s">
        <v>12</v>
      </c>
      <c r="AE118" s="5" t="s">
        <v>12</v>
      </c>
      <c r="AF118" s="5" t="s">
        <v>12</v>
      </c>
      <c r="AG118" s="4">
        <f>0.00000000000387*($B$1/298)^1.58*EXP(-13390/(8.314*$B$1))</f>
        <v>3.4370746802975223E-13</v>
      </c>
      <c r="AH118" s="81">
        <v>59</v>
      </c>
      <c r="AI118" s="52" t="s">
        <v>168</v>
      </c>
    </row>
    <row r="119" spans="1:35" ht="18" x14ac:dyDescent="0.35">
      <c r="A119" s="8">
        <v>116</v>
      </c>
      <c r="B119" s="150" t="s">
        <v>38</v>
      </c>
      <c r="C119" s="137"/>
      <c r="D119" s="137"/>
      <c r="E119" s="149" t="s">
        <v>0</v>
      </c>
      <c r="F119" s="1" t="s">
        <v>39</v>
      </c>
      <c r="G119" s="1" t="s">
        <v>1</v>
      </c>
      <c r="H119" s="1" t="s">
        <v>29</v>
      </c>
      <c r="I119" s="5" t="s">
        <v>12</v>
      </c>
      <c r="J119" s="5" t="s">
        <v>12</v>
      </c>
      <c r="K119" s="5" t="s">
        <v>12</v>
      </c>
      <c r="L119" s="4">
        <f>0.0000000448*($B$1/298)*EXP(-353000/(8.314*$B$1))</f>
        <v>7.2189681067802409E-45</v>
      </c>
      <c r="M119" s="139">
        <v>60</v>
      </c>
      <c r="N119" s="139"/>
      <c r="O119" s="9" t="s">
        <v>301</v>
      </c>
      <c r="P119" s="5" t="s">
        <v>12</v>
      </c>
      <c r="Q119" s="5" t="s">
        <v>12</v>
      </c>
      <c r="R119" s="5" t="s">
        <v>12</v>
      </c>
      <c r="S119" s="4">
        <f>0.0000000365*($B$1/298)*EXP(-391000/(8.314*$B$1))</f>
        <v>6.092148656724014E-49</v>
      </c>
      <c r="T119" s="78">
        <v>61</v>
      </c>
      <c r="U119" s="57" t="s">
        <v>149</v>
      </c>
      <c r="V119" s="5" t="s">
        <v>12</v>
      </c>
      <c r="W119" s="5" t="s">
        <v>12</v>
      </c>
      <c r="X119" s="5" t="s">
        <v>12</v>
      </c>
      <c r="Y119" s="4">
        <v>2.6600000000000001E-11</v>
      </c>
      <c r="Z119" s="139">
        <v>62</v>
      </c>
      <c r="AA119" s="139"/>
      <c r="AB119" s="22" t="s">
        <v>169</v>
      </c>
      <c r="AC119" s="73"/>
      <c r="AD119" s="5" t="s">
        <v>12</v>
      </c>
      <c r="AE119" s="5" t="s">
        <v>12</v>
      </c>
      <c r="AF119" s="5" t="s">
        <v>12</v>
      </c>
      <c r="AG119" s="5" t="s">
        <v>12</v>
      </c>
    </row>
    <row r="120" spans="1:35" ht="18" x14ac:dyDescent="0.35">
      <c r="A120" s="8">
        <v>117</v>
      </c>
      <c r="B120" s="150"/>
      <c r="C120" s="137"/>
      <c r="D120" s="137"/>
      <c r="E120" s="149"/>
      <c r="F120" s="1" t="s">
        <v>65</v>
      </c>
      <c r="G120" s="1" t="s">
        <v>1</v>
      </c>
      <c r="H120" s="1" t="s">
        <v>31</v>
      </c>
      <c r="I120" s="5" t="s">
        <v>12</v>
      </c>
      <c r="J120" s="5" t="s">
        <v>12</v>
      </c>
      <c r="K120" s="5" t="s">
        <v>12</v>
      </c>
      <c r="L120" s="4">
        <f>0.00000000105*($B$1/298)*EXP(-391000/(8.314*$B$1))</f>
        <v>1.752535914948004E-50</v>
      </c>
      <c r="M120" s="139" t="s">
        <v>465</v>
      </c>
      <c r="N120" s="139"/>
      <c r="O120" s="9" t="s">
        <v>300</v>
      </c>
      <c r="P120" s="5" t="s">
        <v>12</v>
      </c>
      <c r="Q120" s="5" t="s">
        <v>12</v>
      </c>
      <c r="R120" s="5" t="s">
        <v>12</v>
      </c>
      <c r="S120" s="5" t="s">
        <v>12</v>
      </c>
      <c r="U120" s="57"/>
      <c r="V120" s="5" t="s">
        <v>12</v>
      </c>
      <c r="W120" s="5" t="s">
        <v>12</v>
      </c>
      <c r="X120" s="5" t="s">
        <v>12</v>
      </c>
      <c r="Y120" s="5" t="s">
        <v>12</v>
      </c>
      <c r="AD120" s="5" t="s">
        <v>12</v>
      </c>
      <c r="AE120" s="5" t="s">
        <v>12</v>
      </c>
      <c r="AF120" s="5" t="s">
        <v>12</v>
      </c>
      <c r="AG120" s="5" t="s">
        <v>12</v>
      </c>
    </row>
    <row r="121" spans="1:35" ht="19.5" customHeight="1" x14ac:dyDescent="0.35">
      <c r="A121" s="8">
        <v>118</v>
      </c>
      <c r="B121" s="150" t="s">
        <v>38</v>
      </c>
      <c r="C121" s="137" t="s">
        <v>1</v>
      </c>
      <c r="D121" s="137" t="s">
        <v>65</v>
      </c>
      <c r="E121" s="2" t="s">
        <v>0</v>
      </c>
      <c r="F121" s="1" t="s">
        <v>39</v>
      </c>
      <c r="G121" s="1" t="s">
        <v>1</v>
      </c>
      <c r="H121" s="1" t="s">
        <v>39</v>
      </c>
      <c r="I121" s="5" t="s">
        <v>12</v>
      </c>
      <c r="J121" s="5" t="s">
        <v>12</v>
      </c>
      <c r="K121" s="5" t="s">
        <v>12</v>
      </c>
      <c r="L121" s="4">
        <f>0.0000000000000233*($B$1/298)^3.41*EXP(-61110/(8.314*$B$1))</f>
        <v>5.2507147728771351E-20</v>
      </c>
      <c r="M121" s="139">
        <v>64</v>
      </c>
      <c r="N121" s="139"/>
      <c r="O121" s="8" t="s">
        <v>302</v>
      </c>
      <c r="P121" s="5" t="s">
        <v>12</v>
      </c>
      <c r="Q121" s="5" t="s">
        <v>12</v>
      </c>
      <c r="R121" s="5" t="s">
        <v>12</v>
      </c>
      <c r="S121" s="4">
        <f>0.000000000525*EXP(-112000/(8.314*$B$1))</f>
        <v>9.4563369170541383E-22</v>
      </c>
      <c r="T121" s="92">
        <v>65</v>
      </c>
      <c r="U121" s="55" t="s">
        <v>203</v>
      </c>
      <c r="V121" s="5" t="s">
        <v>12</v>
      </c>
      <c r="W121" s="5" t="s">
        <v>12</v>
      </c>
      <c r="X121" s="5" t="s">
        <v>12</v>
      </c>
      <c r="Y121" s="4">
        <f>0.00000000000000507*($B$1/298)^3.53*EXP(-2311/(8.314*$B$1))</f>
        <v>1.7798031102695659E-14</v>
      </c>
      <c r="Z121" s="139">
        <v>64</v>
      </c>
      <c r="AA121" s="139"/>
      <c r="AB121" s="15" t="s">
        <v>160</v>
      </c>
      <c r="AD121" s="5" t="s">
        <v>12</v>
      </c>
      <c r="AE121" s="5" t="s">
        <v>12</v>
      </c>
      <c r="AF121" s="5" t="s">
        <v>12</v>
      </c>
      <c r="AG121" s="4">
        <f>0.000000000083*($B$1/298)*EXP(-41820/(8.314*$B$1))</f>
        <v>5.7139089095334913E-15</v>
      </c>
      <c r="AH121" s="81">
        <v>61</v>
      </c>
      <c r="AI121" s="52" t="s">
        <v>149</v>
      </c>
    </row>
    <row r="122" spans="1:35" ht="18" x14ac:dyDescent="0.35">
      <c r="A122" s="8">
        <v>119</v>
      </c>
      <c r="B122" s="150"/>
      <c r="C122" s="137"/>
      <c r="D122" s="137"/>
      <c r="E122" s="2" t="s">
        <v>0</v>
      </c>
      <c r="F122" s="1" t="s">
        <v>78</v>
      </c>
      <c r="I122" s="5" t="s">
        <v>12</v>
      </c>
      <c r="J122" s="5" t="s">
        <v>12</v>
      </c>
      <c r="K122" s="5" t="s">
        <v>12</v>
      </c>
      <c r="L122" s="4">
        <f>0.00000000000108*($B$1/298)*EXP(6818/(8.314*$B$1))</f>
        <v>9.3650519287586714E-12</v>
      </c>
      <c r="M122" s="139">
        <v>66</v>
      </c>
      <c r="N122" s="139"/>
      <c r="O122" s="9" t="s">
        <v>303</v>
      </c>
      <c r="P122" s="5" t="s">
        <v>12</v>
      </c>
      <c r="Q122" s="5" t="s">
        <v>12</v>
      </c>
      <c r="R122" s="5" t="s">
        <v>12</v>
      </c>
      <c r="S122" s="5" t="s">
        <v>12</v>
      </c>
      <c r="V122" s="5" t="s">
        <v>12</v>
      </c>
      <c r="W122" s="5" t="s">
        <v>12</v>
      </c>
      <c r="X122" s="5" t="s">
        <v>12</v>
      </c>
      <c r="Y122" s="5" t="s">
        <v>12</v>
      </c>
      <c r="AD122" s="5" t="s">
        <v>12</v>
      </c>
      <c r="AE122" s="5" t="s">
        <v>12</v>
      </c>
      <c r="AF122" s="5" t="s">
        <v>12</v>
      </c>
      <c r="AG122" s="5" t="s">
        <v>12</v>
      </c>
      <c r="AI122" s="52"/>
    </row>
    <row r="123" spans="1:35" ht="18" customHeight="1" x14ac:dyDescent="0.25">
      <c r="A123" s="8">
        <v>120</v>
      </c>
      <c r="B123" s="150" t="s">
        <v>38</v>
      </c>
      <c r="C123" s="137" t="s">
        <v>1</v>
      </c>
      <c r="D123" s="98" t="s">
        <v>43</v>
      </c>
      <c r="E123" s="97" t="s">
        <v>0</v>
      </c>
      <c r="F123" s="99" t="s">
        <v>47</v>
      </c>
      <c r="G123" s="98" t="s">
        <v>1</v>
      </c>
      <c r="H123" s="137" t="s">
        <v>39</v>
      </c>
      <c r="I123" s="165" t="s">
        <v>12</v>
      </c>
      <c r="J123" s="165" t="s">
        <v>12</v>
      </c>
      <c r="K123" s="165" t="s">
        <v>12</v>
      </c>
      <c r="L123" s="170">
        <f>2.43E-21*$B$1^3.12*EXP(-27380/$B$1)</f>
        <v>8.532651477542846E-37</v>
      </c>
      <c r="M123" s="139">
        <v>67</v>
      </c>
      <c r="N123" s="139"/>
      <c r="O123" s="138" t="s">
        <v>156</v>
      </c>
      <c r="P123" s="34" t="s">
        <v>12</v>
      </c>
      <c r="Q123" s="16" t="s">
        <v>12</v>
      </c>
      <c r="R123" s="16" t="s">
        <v>12</v>
      </c>
      <c r="S123" s="18">
        <f>0.0000000000000000172*$B$1^1.73*EXP(-28454/$B$1)</f>
        <v>1.2455083079229332E-37</v>
      </c>
      <c r="T123" s="81">
        <v>68</v>
      </c>
      <c r="U123" s="62" t="s">
        <v>182</v>
      </c>
      <c r="V123" s="5" t="s">
        <v>12</v>
      </c>
      <c r="W123" s="5" t="s">
        <v>12</v>
      </c>
      <c r="X123" s="5" t="s">
        <v>12</v>
      </c>
      <c r="Y123" s="4">
        <f>0.000000000000106*$B$1^0.41*EXP(353/$B$1)</f>
        <v>2.7477302936421862E-12</v>
      </c>
      <c r="Z123" s="139">
        <v>67</v>
      </c>
      <c r="AA123" s="139"/>
      <c r="AB123" s="45" t="s">
        <v>170</v>
      </c>
      <c r="AC123" s="169" t="s">
        <v>81</v>
      </c>
      <c r="AD123" s="5" t="s">
        <v>12</v>
      </c>
      <c r="AE123" s="5" t="s">
        <v>12</v>
      </c>
      <c r="AF123" s="5" t="s">
        <v>12</v>
      </c>
      <c r="AG123" s="5" t="s">
        <v>12</v>
      </c>
    </row>
    <row r="124" spans="1:35" x14ac:dyDescent="0.25">
      <c r="A124" s="8">
        <v>121</v>
      </c>
      <c r="B124" s="150"/>
      <c r="C124" s="137"/>
      <c r="D124" s="98"/>
      <c r="E124" s="97"/>
      <c r="F124" s="99"/>
      <c r="G124" s="36"/>
      <c r="H124" s="137"/>
      <c r="I124" s="165"/>
      <c r="J124" s="165"/>
      <c r="K124" s="165"/>
      <c r="L124" s="170"/>
      <c r="M124" s="139"/>
      <c r="N124" s="139"/>
      <c r="O124" s="138"/>
      <c r="P124" s="5" t="s">
        <v>12</v>
      </c>
      <c r="Q124" s="5" t="s">
        <v>12</v>
      </c>
      <c r="R124" s="5" t="s">
        <v>12</v>
      </c>
      <c r="S124" s="5" t="s">
        <v>12</v>
      </c>
      <c r="T124" s="82"/>
      <c r="U124" s="62"/>
      <c r="V124" s="4">
        <f>641000*$B$1^-8.13*EXP(-1439/$B$1)</f>
        <v>4.1954525435254226E-18</v>
      </c>
      <c r="W124" s="4">
        <f>4730000000000*$B$1^-8.36*EXP(-1748/$B$1)</f>
        <v>3.9902339342334132E-12</v>
      </c>
      <c r="X124" s="4">
        <f>0.000000000139*$B$1^0.22*EXP(-26/$B$1)</f>
        <v>5.1732902839289481E-10</v>
      </c>
      <c r="Y124" s="5" t="s">
        <v>12</v>
      </c>
      <c r="Z124" s="139"/>
      <c r="AA124" s="139"/>
      <c r="AB124" s="45" t="s">
        <v>171</v>
      </c>
      <c r="AC124" s="169"/>
      <c r="AD124" s="5" t="s">
        <v>12</v>
      </c>
      <c r="AE124" s="5" t="s">
        <v>12</v>
      </c>
      <c r="AF124" s="5" t="s">
        <v>12</v>
      </c>
      <c r="AG124" s="5" t="s">
        <v>12</v>
      </c>
    </row>
    <row r="125" spans="1:35" x14ac:dyDescent="0.25">
      <c r="A125" s="8">
        <v>122</v>
      </c>
      <c r="B125" s="150"/>
      <c r="C125" s="137"/>
      <c r="D125" s="98"/>
      <c r="E125" s="97"/>
      <c r="F125" s="99"/>
      <c r="G125" s="36"/>
      <c r="H125" s="137"/>
      <c r="I125" s="165"/>
      <c r="J125" s="165"/>
      <c r="K125" s="165"/>
      <c r="L125" s="170"/>
      <c r="M125" s="139"/>
      <c r="N125" s="139"/>
      <c r="O125" s="138"/>
      <c r="P125" s="5" t="s">
        <v>12</v>
      </c>
      <c r="Q125" s="5" t="s">
        <v>12</v>
      </c>
      <c r="R125" s="5" t="s">
        <v>12</v>
      </c>
      <c r="S125" s="5" t="s">
        <v>12</v>
      </c>
      <c r="T125" s="82"/>
      <c r="U125" s="62"/>
      <c r="V125" s="6">
        <f>3.62E-42*$B$1^8.17*EXP(4561/$B$1)</f>
        <v>3.7366947129196662E-16</v>
      </c>
      <c r="W125" s="4">
        <f>1.3E-31*$B$1^5.29*EXP(236/$B$1)</f>
        <v>3.8790620676257541E-17</v>
      </c>
      <c r="X125" s="6">
        <f>2.17E-27*$B$1^4.11*EXP(-975/$B$1)</f>
        <v>3.737580679414352E-17</v>
      </c>
      <c r="Y125" s="5" t="s">
        <v>12</v>
      </c>
      <c r="Z125" s="139"/>
      <c r="AA125" s="139"/>
      <c r="AB125" s="45" t="s">
        <v>173</v>
      </c>
      <c r="AC125" s="169"/>
      <c r="AD125" s="5" t="s">
        <v>12</v>
      </c>
      <c r="AE125" s="5" t="s">
        <v>12</v>
      </c>
      <c r="AF125" s="5" t="s">
        <v>12</v>
      </c>
      <c r="AG125" s="5" t="s">
        <v>12</v>
      </c>
    </row>
    <row r="126" spans="1:35" x14ac:dyDescent="0.25">
      <c r="A126" s="8">
        <v>123</v>
      </c>
      <c r="B126" s="150"/>
      <c r="C126" s="137"/>
      <c r="D126" s="98"/>
      <c r="E126" s="44"/>
      <c r="F126" s="64"/>
      <c r="G126" s="36"/>
      <c r="H126" s="137"/>
      <c r="I126" s="165"/>
      <c r="J126" s="165"/>
      <c r="K126" s="165"/>
      <c r="L126" s="170"/>
      <c r="M126" s="139"/>
      <c r="N126" s="139"/>
      <c r="O126" s="138"/>
      <c r="P126" s="5" t="s">
        <v>12</v>
      </c>
      <c r="Q126" s="5" t="s">
        <v>12</v>
      </c>
      <c r="R126" s="5" t="s">
        <v>12</v>
      </c>
      <c r="S126" s="5" t="s">
        <v>12</v>
      </c>
      <c r="T126" s="82"/>
      <c r="U126" s="62"/>
      <c r="V126" s="6">
        <f>1.84E-44*$B$1^8.58*EXP(4999/$B$1)</f>
        <v>5.8394151764258747E-17</v>
      </c>
      <c r="W126" s="4">
        <f>2.48E-36*$B$1^6.41*EXP(915/$B$1)</f>
        <v>3.035572252867205E-18</v>
      </c>
      <c r="X126" s="6">
        <f>5.5E-31*$B$1^4.92*EXP(-668/$B$1)</f>
        <v>2.6853589578166141E-18</v>
      </c>
      <c r="Y126" s="5" t="s">
        <v>12</v>
      </c>
      <c r="Z126" s="139"/>
      <c r="AA126" s="139"/>
      <c r="AB126" s="45" t="s">
        <v>172</v>
      </c>
      <c r="AC126" s="169"/>
      <c r="AD126" s="5" t="s">
        <v>12</v>
      </c>
      <c r="AE126" s="5" t="s">
        <v>12</v>
      </c>
      <c r="AF126" s="5" t="s">
        <v>12</v>
      </c>
      <c r="AG126" s="5" t="s">
        <v>12</v>
      </c>
    </row>
    <row r="127" spans="1:35" ht="18" x14ac:dyDescent="0.35">
      <c r="A127" s="8">
        <v>124</v>
      </c>
      <c r="B127" s="150" t="s">
        <v>38</v>
      </c>
      <c r="C127" s="137" t="s">
        <v>1</v>
      </c>
      <c r="D127" s="137" t="s">
        <v>44</v>
      </c>
      <c r="E127" s="149" t="s">
        <v>0</v>
      </c>
      <c r="F127" s="1" t="s">
        <v>52</v>
      </c>
      <c r="G127" s="1" t="s">
        <v>1</v>
      </c>
      <c r="H127" s="1" t="s">
        <v>39</v>
      </c>
      <c r="I127" s="5" t="s">
        <v>12</v>
      </c>
      <c r="J127" s="5" t="s">
        <v>12</v>
      </c>
      <c r="K127" s="5" t="s">
        <v>12</v>
      </c>
      <c r="L127" s="4">
        <f>0.00000000000000111*($B$1/298)^3.41*EXP(-125000/(8.314*$B$1))</f>
        <v>4.9958996278322789E-28</v>
      </c>
      <c r="M127" s="139">
        <v>68</v>
      </c>
      <c r="N127" s="139"/>
      <c r="O127" s="9" t="s">
        <v>304</v>
      </c>
      <c r="P127" s="5" t="s">
        <v>12</v>
      </c>
      <c r="Q127" s="5" t="s">
        <v>12</v>
      </c>
      <c r="R127" s="5" t="s">
        <v>12</v>
      </c>
      <c r="S127" s="4">
        <f>0.000000000000407*($B$1/298)*EXP(-105000/(8.314*$B$1))</f>
        <v>6.6424636497064712E-24</v>
      </c>
      <c r="T127" s="94">
        <v>69</v>
      </c>
      <c r="U127" s="55" t="s">
        <v>150</v>
      </c>
      <c r="V127" s="5" t="s">
        <v>12</v>
      </c>
      <c r="W127" s="5" t="s">
        <v>12</v>
      </c>
      <c r="X127" s="5" t="s">
        <v>12</v>
      </c>
      <c r="Y127" s="4">
        <f>0.0000000000000465*($B$1/298)*EXP(24110/$B$1)</f>
        <v>81292169.27728644</v>
      </c>
      <c r="Z127" s="142">
        <v>69</v>
      </c>
      <c r="AA127" s="142"/>
      <c r="AB127" s="71" t="s">
        <v>150</v>
      </c>
      <c r="AD127" s="5" t="s">
        <v>12</v>
      </c>
      <c r="AE127" s="5" t="s">
        <v>12</v>
      </c>
      <c r="AF127" s="5" t="s">
        <v>12</v>
      </c>
      <c r="AG127" s="5" t="s">
        <v>12</v>
      </c>
    </row>
    <row r="128" spans="1:35" ht="18" x14ac:dyDescent="0.35">
      <c r="A128" s="8">
        <v>125</v>
      </c>
      <c r="B128" s="150"/>
      <c r="C128" s="137"/>
      <c r="D128" s="137"/>
      <c r="E128" s="149"/>
      <c r="F128" s="1" t="s">
        <v>71</v>
      </c>
      <c r="G128" s="1" t="s">
        <v>1</v>
      </c>
      <c r="H128" s="1" t="s">
        <v>39</v>
      </c>
      <c r="I128" s="5" t="s">
        <v>12</v>
      </c>
      <c r="J128" s="5" t="s">
        <v>12</v>
      </c>
      <c r="K128" s="5" t="s">
        <v>12</v>
      </c>
      <c r="L128" s="4">
        <f>4.46E-25*$B$1^4.02*EXP(-11700/$B$1)</f>
        <v>1.9610599307131279E-24</v>
      </c>
      <c r="M128" s="139">
        <v>70</v>
      </c>
      <c r="N128" s="139"/>
      <c r="O128" s="138" t="s">
        <v>305</v>
      </c>
      <c r="P128" s="5" t="s">
        <v>12</v>
      </c>
      <c r="Q128" s="5" t="s">
        <v>12</v>
      </c>
      <c r="R128" s="5" t="s">
        <v>12</v>
      </c>
      <c r="S128" s="5" t="s">
        <v>12</v>
      </c>
      <c r="T128" s="89"/>
      <c r="V128" s="5" t="s">
        <v>12</v>
      </c>
      <c r="W128" s="5" t="s">
        <v>12</v>
      </c>
      <c r="X128" s="5" t="s">
        <v>12</v>
      </c>
      <c r="Y128" s="4">
        <f>1.7E-20*$B$1^2.34*EXP(1612/$B$1)</f>
        <v>8.8641459377365097E-13</v>
      </c>
      <c r="Z128" s="139">
        <v>70</v>
      </c>
      <c r="AA128" s="139"/>
      <c r="AB128" s="50" t="s">
        <v>475</v>
      </c>
      <c r="AC128" s="31"/>
      <c r="AD128" s="5" t="s">
        <v>12</v>
      </c>
      <c r="AE128" s="5" t="s">
        <v>12</v>
      </c>
      <c r="AF128" s="5" t="s">
        <v>12</v>
      </c>
      <c r="AG128" s="5" t="s">
        <v>12</v>
      </c>
      <c r="AH128" s="86"/>
    </row>
    <row r="129" spans="1:35" ht="18" x14ac:dyDescent="0.35">
      <c r="A129" s="8">
        <v>126</v>
      </c>
      <c r="B129" s="150"/>
      <c r="C129" s="137"/>
      <c r="D129" s="137"/>
      <c r="E129" s="149"/>
      <c r="F129" s="1" t="s">
        <v>69</v>
      </c>
      <c r="G129" s="1" t="s">
        <v>1</v>
      </c>
      <c r="H129" s="1" t="s">
        <v>39</v>
      </c>
      <c r="I129" s="5" t="s">
        <v>12</v>
      </c>
      <c r="J129" s="5" t="s">
        <v>12</v>
      </c>
      <c r="K129" s="5" t="s">
        <v>12</v>
      </c>
      <c r="L129" s="4">
        <f>7.04E-34*$B$1^6.48*EXP(-13600/$B$1)</f>
        <v>2.9497601848858961E-28</v>
      </c>
      <c r="M129" s="139"/>
      <c r="N129" s="139"/>
      <c r="O129" s="138"/>
      <c r="P129" s="5" t="s">
        <v>12</v>
      </c>
      <c r="Q129" s="5" t="s">
        <v>12</v>
      </c>
      <c r="R129" s="5" t="s">
        <v>12</v>
      </c>
      <c r="S129" s="5" t="s">
        <v>12</v>
      </c>
      <c r="T129" s="85"/>
      <c r="V129" s="5" t="s">
        <v>12</v>
      </c>
      <c r="W129" s="5" t="s">
        <v>12</v>
      </c>
      <c r="X129" s="5" t="s">
        <v>12</v>
      </c>
      <c r="Y129" s="4">
        <f>4.99E-33*$B$1^6*EXP(-1191/$B$1)</f>
        <v>6.9811998697717182E-18</v>
      </c>
      <c r="Z129" s="139"/>
      <c r="AA129" s="139"/>
      <c r="AB129" s="50" t="s">
        <v>174</v>
      </c>
      <c r="AC129" s="31"/>
      <c r="AD129" s="5" t="s">
        <v>12</v>
      </c>
      <c r="AE129" s="5" t="s">
        <v>12</v>
      </c>
      <c r="AF129" s="5" t="s">
        <v>12</v>
      </c>
      <c r="AG129" s="5" t="s">
        <v>12</v>
      </c>
    </row>
    <row r="130" spans="1:35" ht="18" x14ac:dyDescent="0.35">
      <c r="A130" s="8">
        <v>127</v>
      </c>
      <c r="B130" s="150" t="s">
        <v>38</v>
      </c>
      <c r="C130" s="137" t="s">
        <v>1</v>
      </c>
      <c r="D130" s="137" t="s">
        <v>42</v>
      </c>
      <c r="E130" s="149" t="s">
        <v>0</v>
      </c>
      <c r="F130" s="1" t="s">
        <v>82</v>
      </c>
      <c r="G130" s="1" t="s">
        <v>1</v>
      </c>
      <c r="H130" s="1" t="s">
        <v>32</v>
      </c>
      <c r="I130" s="5" t="s">
        <v>12</v>
      </c>
      <c r="J130" s="5" t="s">
        <v>12</v>
      </c>
      <c r="K130" s="5" t="s">
        <v>12</v>
      </c>
      <c r="L130" s="4">
        <f>0.000000000000000518*($B$1/298)^3.47*EXP(-180000/(8.314*$B$1))</f>
        <v>4.1082037386148389E-34</v>
      </c>
      <c r="M130" s="139">
        <v>71</v>
      </c>
      <c r="N130" s="139"/>
      <c r="O130" s="138" t="s">
        <v>156</v>
      </c>
      <c r="P130" s="5" t="s">
        <v>12</v>
      </c>
      <c r="Q130" s="5" t="s">
        <v>12</v>
      </c>
      <c r="R130" s="5" t="s">
        <v>12</v>
      </c>
      <c r="S130" s="5" t="s">
        <v>12</v>
      </c>
      <c r="V130" s="5" t="s">
        <v>12</v>
      </c>
      <c r="W130" s="5" t="s">
        <v>12</v>
      </c>
      <c r="X130" s="5" t="s">
        <v>12</v>
      </c>
      <c r="Y130" s="5" t="s">
        <v>12</v>
      </c>
      <c r="AD130" s="5" t="s">
        <v>12</v>
      </c>
      <c r="AE130" s="5" t="s">
        <v>12</v>
      </c>
      <c r="AF130" s="5" t="s">
        <v>12</v>
      </c>
      <c r="AG130" s="5" t="s">
        <v>12</v>
      </c>
    </row>
    <row r="131" spans="1:35" ht="18" x14ac:dyDescent="0.35">
      <c r="A131" s="8">
        <v>128</v>
      </c>
      <c r="B131" s="150"/>
      <c r="C131" s="137"/>
      <c r="D131" s="137"/>
      <c r="E131" s="149"/>
      <c r="F131" s="1" t="s">
        <v>83</v>
      </c>
      <c r="G131" s="1" t="s">
        <v>1</v>
      </c>
      <c r="H131" s="1" t="s">
        <v>32</v>
      </c>
      <c r="I131" s="5" t="s">
        <v>12</v>
      </c>
      <c r="J131" s="5" t="s">
        <v>12</v>
      </c>
      <c r="K131" s="5" t="s">
        <v>12</v>
      </c>
      <c r="L131" s="4">
        <f>0.0000000000000176*($B$1/298)^3.5*EXP(-188000/(8.314*$B$1))</f>
        <v>2.0541913011456843E-33</v>
      </c>
      <c r="M131" s="139"/>
      <c r="N131" s="139"/>
      <c r="O131" s="138"/>
      <c r="P131" s="5" t="s">
        <v>12</v>
      </c>
      <c r="Q131" s="5" t="s">
        <v>12</v>
      </c>
      <c r="R131" s="5" t="s">
        <v>12</v>
      </c>
      <c r="S131" s="5" t="s">
        <v>12</v>
      </c>
      <c r="V131" s="5" t="s">
        <v>12</v>
      </c>
      <c r="W131" s="5" t="s">
        <v>12</v>
      </c>
      <c r="X131" s="5" t="s">
        <v>12</v>
      </c>
      <c r="Y131" s="5" t="s">
        <v>12</v>
      </c>
      <c r="AD131" s="5" t="s">
        <v>12</v>
      </c>
      <c r="AE131" s="5" t="s">
        <v>12</v>
      </c>
      <c r="AF131" s="5" t="s">
        <v>12</v>
      </c>
      <c r="AG131" s="5" t="s">
        <v>12</v>
      </c>
    </row>
    <row r="132" spans="1:35" ht="18" x14ac:dyDescent="0.35">
      <c r="A132" s="8">
        <v>129</v>
      </c>
      <c r="B132" s="1" t="s">
        <v>38</v>
      </c>
      <c r="C132" s="1" t="s">
        <v>1</v>
      </c>
      <c r="D132" s="1" t="s">
        <v>41</v>
      </c>
      <c r="E132" s="2" t="s">
        <v>0</v>
      </c>
      <c r="F132" s="1" t="s">
        <v>42</v>
      </c>
      <c r="G132" s="1" t="s">
        <v>1</v>
      </c>
      <c r="H132" s="1" t="s">
        <v>39</v>
      </c>
      <c r="I132" s="6">
        <f>4.24E-24*$B$1^3.61*EXP(-850/$B$1)</f>
        <v>4.2052659459590519E-15</v>
      </c>
      <c r="J132" s="4">
        <f>0.00000000000000459*($B$1/298)^3.57*EXP(-7067/(8.314*$B$1))</f>
        <v>5.216549598813001E-15</v>
      </c>
      <c r="K132" s="6">
        <f>6.03E-24*$B$1^3.59*EXP(-840/$B$1)</f>
        <v>5.389095328106083E-15</v>
      </c>
      <c r="L132" s="5" t="s">
        <v>12</v>
      </c>
      <c r="M132" s="139">
        <v>72</v>
      </c>
      <c r="N132" s="139"/>
      <c r="O132" s="9" t="s">
        <v>306</v>
      </c>
      <c r="P132" s="5" t="s">
        <v>12</v>
      </c>
      <c r="Q132" s="5" t="s">
        <v>12</v>
      </c>
      <c r="R132" s="5" t="s">
        <v>12</v>
      </c>
      <c r="S132" s="12" t="s">
        <v>478</v>
      </c>
      <c r="T132" s="92">
        <v>73</v>
      </c>
      <c r="U132" s="59" t="s">
        <v>139</v>
      </c>
      <c r="V132" s="6">
        <f>225000*$B$1^-6.05*EXP(-582/$B$1)</f>
        <v>3.3555024541805961E-12</v>
      </c>
      <c r="W132" s="4">
        <f>0.00172*$B$1^-3.85*EXP(-96/$B$1)</f>
        <v>5.8478701324560633E-14</v>
      </c>
      <c r="X132" s="6">
        <f>4.96E-24*$B$1^3.49*EXP(563/$B$1)</f>
        <v>3.9819904141213756E-14</v>
      </c>
      <c r="Y132" s="5" t="s">
        <v>12</v>
      </c>
      <c r="Z132" s="139">
        <v>72</v>
      </c>
      <c r="AA132" s="139"/>
      <c r="AB132" s="45" t="s">
        <v>175</v>
      </c>
      <c r="AC132" s="73" t="s">
        <v>176</v>
      </c>
      <c r="AD132" s="5" t="s">
        <v>12</v>
      </c>
      <c r="AE132" s="5" t="s">
        <v>12</v>
      </c>
      <c r="AF132" s="5" t="s">
        <v>12</v>
      </c>
      <c r="AG132" s="5" t="s">
        <v>12</v>
      </c>
    </row>
    <row r="133" spans="1:35" ht="18" x14ac:dyDescent="0.35">
      <c r="A133" s="8">
        <v>130</v>
      </c>
      <c r="B133" s="1" t="s">
        <v>38</v>
      </c>
      <c r="C133" s="1" t="s">
        <v>1</v>
      </c>
      <c r="D133" s="1" t="s">
        <v>6</v>
      </c>
      <c r="E133" s="2" t="s">
        <v>0</v>
      </c>
      <c r="F133" s="1" t="s">
        <v>39</v>
      </c>
      <c r="G133" s="1" t="s">
        <v>1</v>
      </c>
      <c r="H133" s="1" t="s">
        <v>32</v>
      </c>
      <c r="I133" s="5" t="s">
        <v>12</v>
      </c>
      <c r="J133" s="5" t="s">
        <v>12</v>
      </c>
      <c r="K133" s="5" t="s">
        <v>12</v>
      </c>
      <c r="L133" s="4">
        <f>0.0000000000000729*($B$1/298)^2.86*EXP(-823/(8.314*$B$1))</f>
        <v>2.5978756727647776E-13</v>
      </c>
      <c r="M133" s="139">
        <v>74</v>
      </c>
      <c r="N133" s="139"/>
      <c r="O133" s="13" t="s">
        <v>307</v>
      </c>
      <c r="P133" s="5" t="s">
        <v>12</v>
      </c>
      <c r="Q133" s="5" t="s">
        <v>12</v>
      </c>
      <c r="R133" s="5" t="s">
        <v>12</v>
      </c>
      <c r="S133" s="4">
        <f>0.0000000000035*($B$1/298)*EXP(-7691/(8.314*$B$1))</f>
        <v>9.1353599515140781E-13</v>
      </c>
      <c r="T133" s="92">
        <v>75</v>
      </c>
      <c r="U133" s="55" t="s">
        <v>230</v>
      </c>
      <c r="V133" s="5" t="s">
        <v>12</v>
      </c>
      <c r="W133" s="5" t="s">
        <v>12</v>
      </c>
      <c r="X133" s="5" t="s">
        <v>12</v>
      </c>
      <c r="Y133" s="4">
        <f>0.00000000000000951*($B$1/298)^3.15*EXP(-42490/(8.314*$B$1))</f>
        <v>1.6808856238957226E-18</v>
      </c>
      <c r="Z133" s="139">
        <v>76</v>
      </c>
      <c r="AA133" s="139"/>
      <c r="AB133" s="50" t="s">
        <v>177</v>
      </c>
      <c r="AC133" s="75"/>
      <c r="AD133" s="5" t="s">
        <v>12</v>
      </c>
      <c r="AE133" s="5" t="s">
        <v>12</v>
      </c>
      <c r="AF133" s="5" t="s">
        <v>12</v>
      </c>
      <c r="AG133" s="4">
        <f>0.000000000000209*($B$1/298)^1.9*EXP(-47560/(8.314*$B$1))</f>
        <v>5.71384725050729E-18</v>
      </c>
      <c r="AH133" s="81">
        <v>77</v>
      </c>
      <c r="AI133" s="52" t="s">
        <v>231</v>
      </c>
    </row>
    <row r="134" spans="1:35" ht="18" x14ac:dyDescent="0.35">
      <c r="A134" s="8">
        <v>131</v>
      </c>
      <c r="B134" s="1" t="s">
        <v>38</v>
      </c>
      <c r="C134" s="1" t="s">
        <v>1</v>
      </c>
      <c r="D134" s="1" t="s">
        <v>14</v>
      </c>
      <c r="E134" s="2" t="s">
        <v>0</v>
      </c>
      <c r="F134" s="1" t="s">
        <v>39</v>
      </c>
      <c r="G134" s="1" t="s">
        <v>1</v>
      </c>
      <c r="H134" s="1" t="s">
        <v>6</v>
      </c>
      <c r="I134" s="5" t="s">
        <v>12</v>
      </c>
      <c r="J134" s="5" t="s">
        <v>12</v>
      </c>
      <c r="K134" s="5" t="s">
        <v>12</v>
      </c>
      <c r="L134" s="4">
        <f>0.0000000000000639*($B$1/298)^3.29*EXP(-18700/(8.314*$B$1))</f>
        <v>3.7909037971662991E-15</v>
      </c>
      <c r="M134" s="139">
        <v>64</v>
      </c>
      <c r="N134" s="139"/>
      <c r="O134" s="8" t="s">
        <v>308</v>
      </c>
      <c r="P134" s="5" t="s">
        <v>12</v>
      </c>
      <c r="Q134" s="5" t="s">
        <v>12</v>
      </c>
      <c r="R134" s="5" t="s">
        <v>12</v>
      </c>
      <c r="S134" s="4">
        <f>0.000000000000287*($B$1/298)^2.1*EXP(-21800/(8.314*$B$1))</f>
        <v>4.3703213826522941E-15</v>
      </c>
      <c r="T134" s="92">
        <v>78</v>
      </c>
      <c r="U134" s="55" t="s">
        <v>232</v>
      </c>
      <c r="V134" s="5" t="s">
        <v>12</v>
      </c>
      <c r="W134" s="5" t="s">
        <v>12</v>
      </c>
      <c r="X134" s="5" t="s">
        <v>12</v>
      </c>
      <c r="Y134" s="4">
        <f>0.00000000000000282*($B$1/298)^3.5*EXP(850/(8.314*$B$1))</f>
        <v>2.091146880928689E-14</v>
      </c>
      <c r="Z134" s="139">
        <v>64</v>
      </c>
      <c r="AA134" s="139"/>
      <c r="AB134" s="50" t="s">
        <v>161</v>
      </c>
      <c r="AC134" s="75"/>
      <c r="AD134" s="5" t="s">
        <v>12</v>
      </c>
      <c r="AE134" s="5" t="s">
        <v>12</v>
      </c>
      <c r="AF134" s="5" t="s">
        <v>12</v>
      </c>
      <c r="AG134" s="4">
        <f>0.000000000000332*($B$1/298)^0.4*EXP(-2080/(8.314*$B$1))</f>
        <v>2.4676563037503226E-13</v>
      </c>
      <c r="AH134" s="81">
        <v>79</v>
      </c>
      <c r="AI134" s="52" t="s">
        <v>233</v>
      </c>
    </row>
    <row r="135" spans="1:35" ht="18.75" x14ac:dyDescent="0.35">
      <c r="A135" s="8">
        <v>132</v>
      </c>
      <c r="B135" s="1" t="s">
        <v>38</v>
      </c>
      <c r="C135" s="1" t="s">
        <v>1</v>
      </c>
      <c r="D135" s="1" t="s">
        <v>4</v>
      </c>
      <c r="E135" s="2" t="s">
        <v>0</v>
      </c>
      <c r="F135" s="1" t="s">
        <v>39</v>
      </c>
      <c r="G135" s="1" t="s">
        <v>1</v>
      </c>
      <c r="H135" s="1" t="s">
        <v>6</v>
      </c>
      <c r="I135" s="5" t="s">
        <v>12</v>
      </c>
      <c r="J135" s="5" t="s">
        <v>12</v>
      </c>
      <c r="K135" s="5" t="s">
        <v>12</v>
      </c>
      <c r="L135" s="4">
        <f>4.85E-21*$B$1^2.93*EXP(-2435/$B$1)</f>
        <v>2.9250829872979262E-15</v>
      </c>
      <c r="M135" s="139">
        <v>80</v>
      </c>
      <c r="N135" s="139"/>
      <c r="O135" s="8" t="s">
        <v>309</v>
      </c>
      <c r="P135" s="5" t="s">
        <v>12</v>
      </c>
      <c r="Q135" s="5" t="s">
        <v>12</v>
      </c>
      <c r="R135" s="5" t="s">
        <v>12</v>
      </c>
      <c r="S135" s="5" t="s">
        <v>12</v>
      </c>
      <c r="T135" s="85"/>
      <c r="V135" s="5" t="s">
        <v>12</v>
      </c>
      <c r="W135" s="5" t="s">
        <v>12</v>
      </c>
      <c r="X135" s="5" t="s">
        <v>12</v>
      </c>
      <c r="Y135" s="5" t="s">
        <v>12</v>
      </c>
      <c r="AC135" s="75"/>
      <c r="AD135" s="5" t="s">
        <v>12</v>
      </c>
      <c r="AE135" s="5" t="s">
        <v>12</v>
      </c>
      <c r="AF135" s="5" t="s">
        <v>12</v>
      </c>
      <c r="AG135" s="5" t="s">
        <v>12</v>
      </c>
    </row>
    <row r="136" spans="1:35" ht="18.75" x14ac:dyDescent="0.35">
      <c r="A136" s="8">
        <v>133</v>
      </c>
      <c r="B136" s="1" t="s">
        <v>38</v>
      </c>
      <c r="C136" s="1" t="s">
        <v>1</v>
      </c>
      <c r="D136" s="1" t="s">
        <v>72</v>
      </c>
      <c r="E136" s="2" t="s">
        <v>0</v>
      </c>
      <c r="F136" s="1" t="s">
        <v>39</v>
      </c>
      <c r="G136" s="1" t="s">
        <v>1</v>
      </c>
      <c r="H136" s="1" t="s">
        <v>6</v>
      </c>
      <c r="I136" s="5" t="s">
        <v>12</v>
      </c>
      <c r="J136" s="5" t="s">
        <v>12</v>
      </c>
      <c r="K136" s="5" t="s">
        <v>12</v>
      </c>
      <c r="L136" s="4">
        <v>2.5100000000000001E-10</v>
      </c>
      <c r="M136" s="139" t="s">
        <v>408</v>
      </c>
      <c r="N136" s="139"/>
      <c r="O136" s="8" t="s">
        <v>265</v>
      </c>
      <c r="P136" s="5" t="s">
        <v>12</v>
      </c>
      <c r="Q136" s="5" t="s">
        <v>12</v>
      </c>
      <c r="R136" s="5" t="s">
        <v>12</v>
      </c>
      <c r="S136" s="5" t="s">
        <v>12</v>
      </c>
      <c r="T136" s="80">
        <v>81</v>
      </c>
      <c r="U136" s="55" t="s">
        <v>310</v>
      </c>
      <c r="V136" s="5" t="s">
        <v>12</v>
      </c>
      <c r="W136" s="5" t="s">
        <v>12</v>
      </c>
      <c r="X136" s="5" t="s">
        <v>12</v>
      </c>
      <c r="Y136" s="4">
        <f>0.0000000000000302*($B$1/298)^2.36*EXP(-255000/(8.314*$B$1))</f>
        <v>1.849530666107645E-40</v>
      </c>
      <c r="Z136" s="139">
        <v>82</v>
      </c>
      <c r="AA136" s="139"/>
      <c r="AB136" s="50" t="s">
        <v>178</v>
      </c>
      <c r="AC136" s="75"/>
      <c r="AD136" s="5" t="s">
        <v>12</v>
      </c>
      <c r="AE136" s="5" t="s">
        <v>12</v>
      </c>
      <c r="AF136" s="5" t="s">
        <v>12</v>
      </c>
      <c r="AG136" s="5" t="s">
        <v>12</v>
      </c>
    </row>
    <row r="137" spans="1:35" ht="18" x14ac:dyDescent="0.35">
      <c r="A137" s="8">
        <v>134</v>
      </c>
      <c r="B137" s="1" t="s">
        <v>38</v>
      </c>
      <c r="C137" s="1" t="s">
        <v>1</v>
      </c>
      <c r="D137" s="1" t="s">
        <v>29</v>
      </c>
      <c r="E137" s="2" t="s">
        <v>0</v>
      </c>
      <c r="F137" s="1" t="s">
        <v>39</v>
      </c>
      <c r="G137" s="1" t="s">
        <v>1</v>
      </c>
      <c r="H137" s="1" t="s">
        <v>31</v>
      </c>
      <c r="I137" s="5" t="s">
        <v>12</v>
      </c>
      <c r="J137" s="5" t="s">
        <v>12</v>
      </c>
      <c r="K137" s="5" t="s">
        <v>12</v>
      </c>
      <c r="L137" s="4">
        <f>0.00000000000078*($B$1/298)^2.4*EXP(-41500/(8.314*$B$1))</f>
        <v>1.1909863231378275E-16</v>
      </c>
      <c r="M137" s="139">
        <v>83</v>
      </c>
      <c r="N137" s="139"/>
      <c r="O137" s="9" t="s">
        <v>311</v>
      </c>
      <c r="P137" s="5" t="s">
        <v>12</v>
      </c>
      <c r="Q137" s="5" t="s">
        <v>12</v>
      </c>
      <c r="R137" s="5" t="s">
        <v>12</v>
      </c>
      <c r="S137" s="5" t="s">
        <v>12</v>
      </c>
      <c r="V137" s="5" t="s">
        <v>12</v>
      </c>
      <c r="W137" s="5" t="s">
        <v>12</v>
      </c>
      <c r="X137" s="5" t="s">
        <v>12</v>
      </c>
      <c r="Y137" s="4">
        <f>0.000000000000176*($B$1/298)^2.23*EXP(-30020/(8.314*$B$1))</f>
        <v>3.9372691944917147E-16</v>
      </c>
      <c r="Z137" s="139">
        <v>76</v>
      </c>
      <c r="AA137" s="139"/>
      <c r="AB137" s="50" t="s">
        <v>179</v>
      </c>
      <c r="AD137" s="5" t="s">
        <v>12</v>
      </c>
      <c r="AE137" s="5" t="s">
        <v>12</v>
      </c>
      <c r="AF137" s="5" t="s">
        <v>12</v>
      </c>
      <c r="AG137" s="4">
        <f>0.0000000000000675*($B$1/298)^2.6*EXP(-25000/(8.314*$B$1))</f>
        <v>6.1369397803657578E-16</v>
      </c>
      <c r="AH137" s="81">
        <v>84</v>
      </c>
      <c r="AI137" s="52" t="s">
        <v>151</v>
      </c>
    </row>
    <row r="138" spans="1:35" ht="18" x14ac:dyDescent="0.35">
      <c r="A138" s="8">
        <v>135</v>
      </c>
      <c r="B138" s="1" t="s">
        <v>39</v>
      </c>
      <c r="E138" s="2" t="s">
        <v>0</v>
      </c>
      <c r="F138" s="1" t="s">
        <v>65</v>
      </c>
      <c r="G138" s="1" t="s">
        <v>1</v>
      </c>
      <c r="H138" s="1" t="s">
        <v>29</v>
      </c>
      <c r="I138" s="5" t="s">
        <v>12</v>
      </c>
      <c r="J138" s="5" t="s">
        <v>12</v>
      </c>
      <c r="K138" s="5" t="s">
        <v>12</v>
      </c>
      <c r="L138" s="4">
        <f>0.00000000199*($B$1/298)*EXP(-318000/(8.314*$B$1))</f>
        <v>1.500329159295108E-42</v>
      </c>
      <c r="M138" s="139">
        <v>85</v>
      </c>
      <c r="N138" s="139"/>
      <c r="O138" s="9" t="s">
        <v>312</v>
      </c>
      <c r="P138" s="5" t="s">
        <v>12</v>
      </c>
      <c r="Q138" s="5" t="s">
        <v>12</v>
      </c>
      <c r="R138" s="5" t="s">
        <v>12</v>
      </c>
      <c r="S138" s="5" t="s">
        <v>12</v>
      </c>
      <c r="V138" s="5" t="s">
        <v>12</v>
      </c>
      <c r="W138" s="5" t="s">
        <v>12</v>
      </c>
      <c r="X138" s="5" t="s">
        <v>12</v>
      </c>
      <c r="Y138" s="5" t="s">
        <v>12</v>
      </c>
      <c r="AD138" s="5" t="s">
        <v>12</v>
      </c>
      <c r="AE138" s="5" t="s">
        <v>12</v>
      </c>
      <c r="AF138" s="5" t="s">
        <v>12</v>
      </c>
      <c r="AG138" s="5" t="s">
        <v>12</v>
      </c>
    </row>
    <row r="139" spans="1:35" ht="18" x14ac:dyDescent="0.35">
      <c r="A139" s="8">
        <v>136</v>
      </c>
      <c r="B139" s="150" t="s">
        <v>39</v>
      </c>
      <c r="C139" s="137" t="s">
        <v>1</v>
      </c>
      <c r="D139" s="137" t="s">
        <v>39</v>
      </c>
      <c r="E139" s="149" t="s">
        <v>0</v>
      </c>
      <c r="F139" s="1" t="s">
        <v>86</v>
      </c>
      <c r="G139" s="1" t="s">
        <v>1</v>
      </c>
      <c r="H139" s="1" t="s">
        <v>29</v>
      </c>
      <c r="I139" s="16" t="s">
        <v>12</v>
      </c>
      <c r="J139" s="16" t="s">
        <v>12</v>
      </c>
      <c r="K139" s="16" t="s">
        <v>12</v>
      </c>
      <c r="L139" s="12" t="s">
        <v>491</v>
      </c>
      <c r="M139" s="139">
        <v>86</v>
      </c>
      <c r="N139" s="139"/>
      <c r="O139" s="8" t="s">
        <v>204</v>
      </c>
      <c r="P139" s="5" t="s">
        <v>12</v>
      </c>
      <c r="Q139" s="5" t="s">
        <v>12</v>
      </c>
      <c r="R139" s="5" t="s">
        <v>12</v>
      </c>
      <c r="S139" s="5" t="s">
        <v>12</v>
      </c>
      <c r="V139" s="5" t="s">
        <v>12</v>
      </c>
      <c r="W139" s="5" t="s">
        <v>12</v>
      </c>
      <c r="X139" s="5" t="s">
        <v>12</v>
      </c>
      <c r="Y139" s="5" t="s">
        <v>12</v>
      </c>
      <c r="AD139" s="5" t="s">
        <v>12</v>
      </c>
      <c r="AE139" s="5" t="s">
        <v>12</v>
      </c>
      <c r="AF139" s="5" t="s">
        <v>12</v>
      </c>
      <c r="AG139" s="5" t="s">
        <v>12</v>
      </c>
    </row>
    <row r="140" spans="1:35" ht="18" x14ac:dyDescent="0.35">
      <c r="A140" s="8">
        <v>137</v>
      </c>
      <c r="B140" s="150"/>
      <c r="C140" s="137"/>
      <c r="D140" s="137"/>
      <c r="E140" s="149"/>
      <c r="F140" s="1" t="s">
        <v>468</v>
      </c>
      <c r="G140" s="1" t="s">
        <v>1</v>
      </c>
      <c r="H140" s="1" t="s">
        <v>31</v>
      </c>
      <c r="I140" s="16" t="s">
        <v>12</v>
      </c>
      <c r="J140" s="16" t="s">
        <v>12</v>
      </c>
      <c r="K140" s="16" t="s">
        <v>12</v>
      </c>
      <c r="L140" s="4">
        <f>0.00000000000000533*($B$1/298)^1.88*EXP(-36830/(8.314*$B$1))</f>
        <v>1.924002446427764E-18</v>
      </c>
      <c r="M140" s="139">
        <v>64</v>
      </c>
      <c r="N140" s="139"/>
      <c r="O140" s="143" t="s">
        <v>314</v>
      </c>
      <c r="P140" s="5" t="s">
        <v>12</v>
      </c>
      <c r="Q140" s="5" t="s">
        <v>12</v>
      </c>
      <c r="R140" s="5" t="s">
        <v>12</v>
      </c>
      <c r="S140" s="5" t="s">
        <v>12</v>
      </c>
      <c r="V140" s="5" t="s">
        <v>12</v>
      </c>
      <c r="W140" s="5" t="s">
        <v>12</v>
      </c>
      <c r="X140" s="5" t="s">
        <v>12</v>
      </c>
      <c r="Y140" s="5" t="s">
        <v>12</v>
      </c>
      <c r="AD140" s="5" t="s">
        <v>12</v>
      </c>
      <c r="AE140" s="5" t="s">
        <v>12</v>
      </c>
      <c r="AF140" s="5" t="s">
        <v>12</v>
      </c>
      <c r="AG140" s="5" t="s">
        <v>12</v>
      </c>
    </row>
    <row r="141" spans="1:35" ht="18" x14ac:dyDescent="0.35">
      <c r="A141" s="8">
        <v>138</v>
      </c>
      <c r="B141" s="150"/>
      <c r="C141" s="137"/>
      <c r="D141" s="137"/>
      <c r="E141" s="149"/>
      <c r="F141" s="1" t="s">
        <v>87</v>
      </c>
      <c r="G141" s="1" t="s">
        <v>1</v>
      </c>
      <c r="H141" s="1" t="s">
        <v>31</v>
      </c>
      <c r="I141" s="16" t="s">
        <v>12</v>
      </c>
      <c r="J141" s="16" t="s">
        <v>12</v>
      </c>
      <c r="K141" s="16" t="s">
        <v>12</v>
      </c>
      <c r="L141" s="4">
        <f>0.0000000000000965*($B$1/298)^1.02*EXP(-49300/(8.314*$B$1))</f>
        <v>1.1027697370786297E-18</v>
      </c>
      <c r="M141" s="139"/>
      <c r="N141" s="139"/>
      <c r="O141" s="143"/>
      <c r="P141" s="5" t="s">
        <v>12</v>
      </c>
      <c r="Q141" s="5" t="s">
        <v>12</v>
      </c>
      <c r="R141" s="5" t="s">
        <v>12</v>
      </c>
      <c r="S141" s="12">
        <v>1.2999999999999999E-12</v>
      </c>
      <c r="T141" s="80">
        <v>86</v>
      </c>
      <c r="U141" s="55" t="s">
        <v>204</v>
      </c>
      <c r="V141" s="5" t="s">
        <v>12</v>
      </c>
      <c r="W141" s="5" t="s">
        <v>12</v>
      </c>
      <c r="X141" s="5" t="s">
        <v>12</v>
      </c>
      <c r="Y141" s="5" t="s">
        <v>12</v>
      </c>
      <c r="AD141" s="5" t="s">
        <v>12</v>
      </c>
      <c r="AE141" s="5" t="s">
        <v>12</v>
      </c>
      <c r="AF141" s="5" t="s">
        <v>12</v>
      </c>
      <c r="AG141" s="5" t="s">
        <v>12</v>
      </c>
    </row>
    <row r="142" spans="1:35" ht="18" x14ac:dyDescent="0.35">
      <c r="A142" s="8">
        <v>139</v>
      </c>
      <c r="B142" s="150"/>
      <c r="C142" s="137"/>
      <c r="D142" s="137"/>
      <c r="E142" s="149"/>
      <c r="F142" s="1" t="s">
        <v>78</v>
      </c>
      <c r="G142" s="1"/>
      <c r="H142" s="1"/>
      <c r="I142" s="4">
        <f>1.17E-27*($B$1/298)^-5.49*EXP(-8314/(8.314*$B$1))</f>
        <v>9.3607648199966384E-30</v>
      </c>
      <c r="J142" s="16" t="s">
        <v>12</v>
      </c>
      <c r="K142" s="4">
        <f>0.0000000000882*($B$1/298)^-0.41*EXP(-270/(8.314*$B$1))</f>
        <v>6.6937134636471502E-11</v>
      </c>
      <c r="L142" s="16" t="s">
        <v>12</v>
      </c>
      <c r="M142" s="139"/>
      <c r="N142" s="139"/>
      <c r="O142" s="8" t="s">
        <v>313</v>
      </c>
      <c r="P142" s="4">
        <f>1.96E-29*($B$1/298)^-3.9</f>
        <v>2.6423781902455345E-30</v>
      </c>
      <c r="Q142" s="5" t="s">
        <v>12</v>
      </c>
      <c r="R142" s="4">
        <f>0.000000000118*($B$1/298)^0.27</f>
        <v>1.3555977906759482E-10</v>
      </c>
      <c r="S142" s="5" t="s">
        <v>12</v>
      </c>
      <c r="T142" s="80">
        <v>87</v>
      </c>
      <c r="U142" s="55" t="s">
        <v>205</v>
      </c>
      <c r="V142" s="5" t="s">
        <v>12</v>
      </c>
      <c r="W142" s="5" t="s">
        <v>12</v>
      </c>
      <c r="X142" s="5" t="s">
        <v>12</v>
      </c>
      <c r="Y142" s="5" t="s">
        <v>12</v>
      </c>
      <c r="AD142" s="5" t="s">
        <v>12</v>
      </c>
      <c r="AE142" s="5" t="s">
        <v>12</v>
      </c>
      <c r="AF142" s="5" t="s">
        <v>12</v>
      </c>
      <c r="AG142" s="5" t="s">
        <v>12</v>
      </c>
    </row>
    <row r="143" spans="1:35" ht="15" customHeight="1" x14ac:dyDescent="0.35">
      <c r="A143" s="8">
        <v>140</v>
      </c>
      <c r="B143" s="150" t="s">
        <v>39</v>
      </c>
      <c r="C143" s="137" t="s">
        <v>1</v>
      </c>
      <c r="D143" s="137" t="s">
        <v>65</v>
      </c>
      <c r="E143" s="149" t="s">
        <v>0</v>
      </c>
      <c r="F143" s="1" t="s">
        <v>86</v>
      </c>
      <c r="I143" s="5" t="s">
        <v>12</v>
      </c>
      <c r="J143" s="5" t="s">
        <v>12</v>
      </c>
      <c r="K143" s="5" t="s">
        <v>12</v>
      </c>
      <c r="L143" s="4">
        <v>1.16E-10</v>
      </c>
      <c r="M143" s="139">
        <v>62</v>
      </c>
      <c r="N143" s="139"/>
      <c r="O143" s="8" t="s">
        <v>169</v>
      </c>
      <c r="P143" s="5" t="s">
        <v>12</v>
      </c>
      <c r="Q143" s="5" t="s">
        <v>12</v>
      </c>
      <c r="R143" s="5" t="s">
        <v>12</v>
      </c>
      <c r="S143" s="5" t="s">
        <v>12</v>
      </c>
      <c r="V143" s="5" t="s">
        <v>12</v>
      </c>
      <c r="W143" s="5" t="s">
        <v>12</v>
      </c>
      <c r="X143" s="5" t="s">
        <v>12</v>
      </c>
      <c r="Y143" s="5" t="s">
        <v>12</v>
      </c>
      <c r="AD143" s="5" t="s">
        <v>12</v>
      </c>
      <c r="AE143" s="5" t="s">
        <v>12</v>
      </c>
      <c r="AF143" s="5" t="s">
        <v>12</v>
      </c>
      <c r="AG143" s="5" t="s">
        <v>12</v>
      </c>
    </row>
    <row r="144" spans="1:35" ht="18" x14ac:dyDescent="0.35">
      <c r="A144" s="8">
        <v>141</v>
      </c>
      <c r="B144" s="150"/>
      <c r="C144" s="137"/>
      <c r="D144" s="137"/>
      <c r="E144" s="149"/>
      <c r="F144" s="1" t="s">
        <v>38</v>
      </c>
      <c r="G144" s="1" t="s">
        <v>1</v>
      </c>
      <c r="H144" s="1" t="s">
        <v>80</v>
      </c>
      <c r="I144" s="5" t="s">
        <v>12</v>
      </c>
      <c r="J144" s="5" t="s">
        <v>12</v>
      </c>
      <c r="K144" s="5" t="s">
        <v>12</v>
      </c>
      <c r="L144" s="4">
        <f>0.0000000000000194*($B$1/298)^2.46*EXP(-449/(8.314*$B$1))</f>
        <v>6.1610260495746452E-14</v>
      </c>
      <c r="M144" s="139">
        <v>64</v>
      </c>
      <c r="N144" s="139"/>
      <c r="O144" s="143" t="s">
        <v>163</v>
      </c>
      <c r="P144" s="5" t="s">
        <v>12</v>
      </c>
      <c r="Q144" s="5" t="s">
        <v>12</v>
      </c>
      <c r="R144" s="5" t="s">
        <v>12</v>
      </c>
      <c r="S144" s="5" t="s">
        <v>12</v>
      </c>
      <c r="V144" s="5" t="s">
        <v>12</v>
      </c>
      <c r="W144" s="5" t="s">
        <v>12</v>
      </c>
      <c r="X144" s="5" t="s">
        <v>12</v>
      </c>
      <c r="Y144" s="5" t="s">
        <v>12</v>
      </c>
      <c r="AD144" s="5" t="s">
        <v>12</v>
      </c>
      <c r="AE144" s="5" t="s">
        <v>12</v>
      </c>
      <c r="AF144" s="5" t="s">
        <v>12</v>
      </c>
      <c r="AG144" s="5" t="s">
        <v>12</v>
      </c>
    </row>
    <row r="145" spans="1:33" ht="18" customHeight="1" x14ac:dyDescent="0.25">
      <c r="A145" s="8">
        <v>142</v>
      </c>
      <c r="B145" s="150"/>
      <c r="C145" s="137"/>
      <c r="D145" s="137"/>
      <c r="E145" s="149"/>
      <c r="F145" s="1" t="s">
        <v>87</v>
      </c>
      <c r="G145" s="1" t="s">
        <v>1</v>
      </c>
      <c r="H145" s="1" t="s">
        <v>29</v>
      </c>
      <c r="I145" s="5" t="s">
        <v>12</v>
      </c>
      <c r="J145" s="5" t="s">
        <v>12</v>
      </c>
      <c r="K145" s="5" t="s">
        <v>12</v>
      </c>
      <c r="L145" s="4">
        <f>0.00000000015*($B$1/298)^-0.27*EXP(-324/(8.314*$B$1))</f>
        <v>1.2074452222108907E-10</v>
      </c>
      <c r="M145" s="139"/>
      <c r="N145" s="139"/>
      <c r="O145" s="143"/>
      <c r="P145" s="5" t="s">
        <v>12</v>
      </c>
      <c r="Q145" s="5" t="s">
        <v>12</v>
      </c>
      <c r="R145" s="5" t="s">
        <v>12</v>
      </c>
      <c r="S145" s="4">
        <f>0.000000000144*($B$1/298)^-0.5</f>
        <v>1.1137572826037302E-10</v>
      </c>
      <c r="T145" s="81">
        <v>61</v>
      </c>
      <c r="U145" s="55" t="s">
        <v>149</v>
      </c>
      <c r="V145" s="5" t="s">
        <v>12</v>
      </c>
      <c r="W145" s="5" t="s">
        <v>12</v>
      </c>
      <c r="X145" s="5" t="s">
        <v>12</v>
      </c>
      <c r="Y145" s="5" t="s">
        <v>12</v>
      </c>
      <c r="AD145" s="5" t="s">
        <v>12</v>
      </c>
      <c r="AE145" s="5" t="s">
        <v>12</v>
      </c>
      <c r="AF145" s="5" t="s">
        <v>12</v>
      </c>
      <c r="AG145" s="5" t="s">
        <v>12</v>
      </c>
    </row>
    <row r="146" spans="1:33" ht="18" x14ac:dyDescent="0.35">
      <c r="A146" s="8">
        <v>143</v>
      </c>
      <c r="B146" s="1" t="s">
        <v>39</v>
      </c>
      <c r="C146" s="1" t="s">
        <v>1</v>
      </c>
      <c r="D146" s="1" t="s">
        <v>47</v>
      </c>
      <c r="E146" s="2" t="s">
        <v>0</v>
      </c>
      <c r="F146" s="1" t="s">
        <v>79</v>
      </c>
      <c r="G146" s="1" t="s">
        <v>1</v>
      </c>
      <c r="H146" s="1" t="s">
        <v>29</v>
      </c>
      <c r="I146" s="6">
        <f>3.96E-21*$B$1^2.7*EXP(129/$B$1)</f>
        <v>9.8408280403955248E-14</v>
      </c>
      <c r="J146" s="4">
        <f>4.03E-19*$B$1^2.15*EXP(-382/$B$1)</f>
        <v>1.1792235087586147E-13</v>
      </c>
      <c r="K146" s="6">
        <f>3.23E-18*$B$1^1.92*EXP(-660/$B$1)</f>
        <v>1.2963918536181794E-13</v>
      </c>
      <c r="L146" s="5" t="s">
        <v>12</v>
      </c>
      <c r="M146" s="139">
        <v>67</v>
      </c>
      <c r="N146" s="139"/>
      <c r="O146" s="9" t="s">
        <v>315</v>
      </c>
      <c r="P146" s="5" t="s">
        <v>12</v>
      </c>
      <c r="Q146" s="5" t="s">
        <v>12</v>
      </c>
      <c r="R146" s="5" t="s">
        <v>12</v>
      </c>
      <c r="S146" s="5" t="s">
        <v>12</v>
      </c>
      <c r="T146" s="82"/>
      <c r="U146" s="61"/>
      <c r="V146" s="5" t="s">
        <v>12</v>
      </c>
      <c r="W146" s="5" t="s">
        <v>12</v>
      </c>
      <c r="X146" s="5" t="s">
        <v>12</v>
      </c>
      <c r="Y146" s="5" t="s">
        <v>12</v>
      </c>
      <c r="AD146" s="5" t="s">
        <v>12</v>
      </c>
      <c r="AE146" s="5" t="s">
        <v>12</v>
      </c>
      <c r="AF146" s="5" t="s">
        <v>12</v>
      </c>
      <c r="AG146" s="5" t="s">
        <v>12</v>
      </c>
    </row>
    <row r="147" spans="1:33" ht="18" x14ac:dyDescent="0.35">
      <c r="A147" s="8">
        <v>144</v>
      </c>
      <c r="B147" s="150" t="s">
        <v>39</v>
      </c>
      <c r="C147" s="137" t="s">
        <v>1</v>
      </c>
      <c r="D147" s="137" t="s">
        <v>43</v>
      </c>
      <c r="E147" s="149" t="s">
        <v>0</v>
      </c>
      <c r="F147" s="1" t="s">
        <v>77</v>
      </c>
      <c r="G147" s="1" t="s">
        <v>1</v>
      </c>
      <c r="H147" s="1" t="s">
        <v>32</v>
      </c>
      <c r="I147" s="16" t="s">
        <v>12</v>
      </c>
      <c r="J147" s="16" t="s">
        <v>12</v>
      </c>
      <c r="K147" s="16" t="s">
        <v>12</v>
      </c>
      <c r="L147" s="4">
        <f>0.0000000000596*($B$1/298)^-2.37*EXP(-3625/(8.314*$B$1))</f>
        <v>7.3497745938541643E-12</v>
      </c>
      <c r="M147" s="139">
        <v>88</v>
      </c>
      <c r="N147" s="139"/>
      <c r="O147" s="143" t="s">
        <v>497</v>
      </c>
      <c r="P147" s="5" t="s">
        <v>12</v>
      </c>
      <c r="Q147" s="5" t="s">
        <v>12</v>
      </c>
      <c r="R147" s="5" t="s">
        <v>12</v>
      </c>
      <c r="S147" s="5" t="s">
        <v>12</v>
      </c>
      <c r="V147" s="5" t="s">
        <v>12</v>
      </c>
      <c r="W147" s="5" t="s">
        <v>12</v>
      </c>
      <c r="X147" s="5" t="s">
        <v>12</v>
      </c>
      <c r="Y147" s="5" t="s">
        <v>12</v>
      </c>
      <c r="AD147" s="5" t="s">
        <v>12</v>
      </c>
      <c r="AE147" s="5" t="s">
        <v>12</v>
      </c>
      <c r="AF147" s="5" t="s">
        <v>12</v>
      </c>
      <c r="AG147" s="5" t="s">
        <v>12</v>
      </c>
    </row>
    <row r="148" spans="1:33" ht="18" x14ac:dyDescent="0.35">
      <c r="A148" s="8">
        <v>145</v>
      </c>
      <c r="B148" s="150"/>
      <c r="C148" s="137"/>
      <c r="D148" s="137"/>
      <c r="E148" s="149"/>
      <c r="F148" s="1" t="s">
        <v>90</v>
      </c>
      <c r="G148" s="1" t="s">
        <v>1</v>
      </c>
      <c r="H148" s="1" t="s">
        <v>6</v>
      </c>
      <c r="I148" s="16" t="s">
        <v>12</v>
      </c>
      <c r="J148" s="16" t="s">
        <v>12</v>
      </c>
      <c r="K148" s="16" t="s">
        <v>12</v>
      </c>
      <c r="L148" s="4">
        <f>0.00000000000038*($B$1/298)^0.29*EXP(3642/(8.314*$B$1))</f>
        <v>1.0626719643247888E-12</v>
      </c>
      <c r="M148" s="139"/>
      <c r="N148" s="139"/>
      <c r="O148" s="143"/>
      <c r="P148" s="5" t="s">
        <v>12</v>
      </c>
      <c r="Q148" s="5" t="s">
        <v>12</v>
      </c>
      <c r="R148" s="5" t="s">
        <v>12</v>
      </c>
      <c r="S148" s="5" t="s">
        <v>12</v>
      </c>
      <c r="V148" s="5" t="s">
        <v>12</v>
      </c>
      <c r="W148" s="5" t="s">
        <v>12</v>
      </c>
      <c r="X148" s="5" t="s">
        <v>12</v>
      </c>
      <c r="Y148" s="5" t="s">
        <v>12</v>
      </c>
      <c r="AD148" s="5" t="s">
        <v>12</v>
      </c>
      <c r="AE148" s="5" t="s">
        <v>12</v>
      </c>
      <c r="AF148" s="5" t="s">
        <v>12</v>
      </c>
      <c r="AG148" s="5" t="s">
        <v>12</v>
      </c>
    </row>
    <row r="149" spans="1:33" ht="18" x14ac:dyDescent="0.35">
      <c r="A149" s="8">
        <v>146</v>
      </c>
      <c r="B149" s="150"/>
      <c r="C149" s="137"/>
      <c r="D149" s="137"/>
      <c r="E149" s="149"/>
      <c r="F149" s="1" t="s">
        <v>77</v>
      </c>
      <c r="G149" s="1" t="s">
        <v>1</v>
      </c>
      <c r="H149" s="1" t="s">
        <v>91</v>
      </c>
      <c r="I149" s="16" t="s">
        <v>12</v>
      </c>
      <c r="J149" s="16" t="s">
        <v>12</v>
      </c>
      <c r="K149" s="16" t="s">
        <v>12</v>
      </c>
      <c r="L149" s="4">
        <v>1.4899999999999999E-12</v>
      </c>
      <c r="M149" s="139">
        <v>90</v>
      </c>
      <c r="N149" s="139"/>
      <c r="O149" s="8" t="s">
        <v>498</v>
      </c>
      <c r="P149" s="5" t="s">
        <v>12</v>
      </c>
      <c r="Q149" s="5" t="s">
        <v>12</v>
      </c>
      <c r="R149" s="5" t="s">
        <v>12</v>
      </c>
      <c r="S149" s="5" t="s">
        <v>12</v>
      </c>
      <c r="V149" s="5" t="s">
        <v>12</v>
      </c>
      <c r="W149" s="5" t="s">
        <v>12</v>
      </c>
      <c r="X149" s="5" t="s">
        <v>12</v>
      </c>
      <c r="Y149" s="5" t="s">
        <v>12</v>
      </c>
      <c r="AD149" s="5" t="s">
        <v>12</v>
      </c>
      <c r="AE149" s="5" t="s">
        <v>12</v>
      </c>
      <c r="AF149" s="5" t="s">
        <v>12</v>
      </c>
      <c r="AG149" s="5" t="s">
        <v>12</v>
      </c>
    </row>
    <row r="150" spans="1:33" ht="18" x14ac:dyDescent="0.35">
      <c r="A150" s="8">
        <v>147</v>
      </c>
      <c r="B150" s="150" t="s">
        <v>39</v>
      </c>
      <c r="C150" s="137" t="s">
        <v>1</v>
      </c>
      <c r="D150" s="137" t="s">
        <v>44</v>
      </c>
      <c r="E150" s="149" t="s">
        <v>0</v>
      </c>
      <c r="F150" s="1" t="s">
        <v>43</v>
      </c>
      <c r="G150" s="1" t="s">
        <v>1</v>
      </c>
      <c r="H150" s="1" t="s">
        <v>48</v>
      </c>
      <c r="I150" s="16" t="s">
        <v>12</v>
      </c>
      <c r="J150" s="16" t="s">
        <v>12</v>
      </c>
      <c r="K150" s="16" t="s">
        <v>12</v>
      </c>
      <c r="L150" s="4">
        <f>0.00000000000151*$B$1^0.0321*EXP(761/$B$1)</f>
        <v>8.4920624184449946E-12</v>
      </c>
      <c r="M150" s="139" t="s">
        <v>501</v>
      </c>
      <c r="N150" s="139"/>
      <c r="O150" s="143" t="s">
        <v>293</v>
      </c>
      <c r="P150" s="5" t="s">
        <v>12</v>
      </c>
      <c r="Q150" s="5" t="s">
        <v>12</v>
      </c>
      <c r="R150" s="5" t="s">
        <v>12</v>
      </c>
      <c r="S150" s="4">
        <v>5.8099999999999997E-12</v>
      </c>
      <c r="T150" s="81">
        <v>92</v>
      </c>
      <c r="U150" s="55" t="s">
        <v>206</v>
      </c>
      <c r="V150" s="5" t="s">
        <v>12</v>
      </c>
      <c r="W150" s="5" t="s">
        <v>12</v>
      </c>
      <c r="X150" s="5" t="s">
        <v>12</v>
      </c>
      <c r="Y150" s="5" t="s">
        <v>12</v>
      </c>
      <c r="AD150" s="5" t="s">
        <v>12</v>
      </c>
      <c r="AE150" s="5" t="s">
        <v>12</v>
      </c>
      <c r="AF150" s="5" t="s">
        <v>12</v>
      </c>
      <c r="AG150" s="5" t="s">
        <v>12</v>
      </c>
    </row>
    <row r="151" spans="1:33" ht="18" x14ac:dyDescent="0.35">
      <c r="A151" s="8">
        <v>148</v>
      </c>
      <c r="B151" s="150"/>
      <c r="C151" s="137"/>
      <c r="D151" s="137"/>
      <c r="E151" s="149"/>
      <c r="F151" s="1" t="s">
        <v>76</v>
      </c>
      <c r="G151" s="1" t="s">
        <v>1</v>
      </c>
      <c r="H151" s="1" t="s">
        <v>32</v>
      </c>
      <c r="I151" s="16" t="s">
        <v>12</v>
      </c>
      <c r="J151" s="16" t="s">
        <v>12</v>
      </c>
      <c r="K151" s="16" t="s">
        <v>12</v>
      </c>
      <c r="L151" s="4">
        <f>0.00000432*$B$1^-2.191*EXP(-229/$B$1)</f>
        <v>3.3567742149866536E-12</v>
      </c>
      <c r="M151" s="139"/>
      <c r="N151" s="139"/>
      <c r="O151" s="143"/>
      <c r="P151" s="5" t="s">
        <v>12</v>
      </c>
      <c r="Q151" s="5" t="s">
        <v>12</v>
      </c>
      <c r="R151" s="5" t="s">
        <v>12</v>
      </c>
      <c r="S151" s="4">
        <f>0.00000000000701*($B$1/298)^-1.44*EXP(-1122/(8.314*$B$1))</f>
        <v>2.551154488013471E-12</v>
      </c>
      <c r="T151" s="81">
        <v>93</v>
      </c>
      <c r="U151" s="55" t="s">
        <v>503</v>
      </c>
      <c r="V151" s="5" t="s">
        <v>12</v>
      </c>
      <c r="W151" s="5" t="s">
        <v>12</v>
      </c>
      <c r="X151" s="5" t="s">
        <v>12</v>
      </c>
      <c r="Y151" s="5" t="s">
        <v>12</v>
      </c>
      <c r="AD151" s="5" t="s">
        <v>12</v>
      </c>
      <c r="AE151" s="5" t="s">
        <v>12</v>
      </c>
      <c r="AF151" s="5" t="s">
        <v>12</v>
      </c>
      <c r="AG151" s="5" t="s">
        <v>12</v>
      </c>
    </row>
    <row r="152" spans="1:33" x14ac:dyDescent="0.25">
      <c r="A152" s="8">
        <v>149</v>
      </c>
      <c r="B152" s="150"/>
      <c r="C152" s="137"/>
      <c r="D152" s="137"/>
      <c r="E152" s="149"/>
      <c r="F152" s="1" t="s">
        <v>88</v>
      </c>
      <c r="G152" s="1" t="s">
        <v>1</v>
      </c>
      <c r="H152" s="1" t="s">
        <v>6</v>
      </c>
      <c r="I152" s="16" t="s">
        <v>12</v>
      </c>
      <c r="J152" s="16" t="s">
        <v>12</v>
      </c>
      <c r="K152" s="16" t="s">
        <v>12</v>
      </c>
      <c r="L152" s="4">
        <f>0.000000000557*$B$1^-0.926*EXP(-2756/$B$1)</f>
        <v>7.004521256929091E-15</v>
      </c>
      <c r="M152" s="139"/>
      <c r="N152" s="139"/>
      <c r="O152" s="143"/>
      <c r="P152" s="5" t="s">
        <v>12</v>
      </c>
      <c r="Q152" s="5" t="s">
        <v>12</v>
      </c>
      <c r="R152" s="5" t="s">
        <v>12</v>
      </c>
      <c r="S152" s="5" t="s">
        <v>12</v>
      </c>
      <c r="V152" s="5" t="s">
        <v>12</v>
      </c>
      <c r="W152" s="5" t="s">
        <v>12</v>
      </c>
      <c r="X152" s="5" t="s">
        <v>12</v>
      </c>
      <c r="Y152" s="5" t="s">
        <v>12</v>
      </c>
      <c r="AD152" s="5" t="s">
        <v>12</v>
      </c>
      <c r="AE152" s="5" t="s">
        <v>12</v>
      </c>
      <c r="AF152" s="5" t="s">
        <v>12</v>
      </c>
      <c r="AG152" s="5" t="s">
        <v>12</v>
      </c>
    </row>
    <row r="153" spans="1:33" x14ac:dyDescent="0.25">
      <c r="A153" s="8">
        <v>150</v>
      </c>
      <c r="B153" s="150"/>
      <c r="C153" s="137"/>
      <c r="D153" s="137"/>
      <c r="E153" s="149"/>
      <c r="F153" s="1" t="s">
        <v>89</v>
      </c>
      <c r="G153" s="1" t="s">
        <v>1</v>
      </c>
      <c r="H153" s="1" t="s">
        <v>6</v>
      </c>
      <c r="I153" s="16" t="s">
        <v>12</v>
      </c>
      <c r="J153" s="16" t="s">
        <v>12</v>
      </c>
      <c r="K153" s="16" t="s">
        <v>12</v>
      </c>
      <c r="L153" s="4">
        <f>0.00000000000396*$B$1^-0.107*EXP(-5655/$B$1)</f>
        <v>2.3931264496830395E-17</v>
      </c>
      <c r="M153" s="139"/>
      <c r="N153" s="139"/>
      <c r="O153" s="143"/>
      <c r="P153" s="5" t="s">
        <v>12</v>
      </c>
      <c r="Q153" s="5" t="s">
        <v>12</v>
      </c>
      <c r="R153" s="5" t="s">
        <v>12</v>
      </c>
      <c r="S153" s="5" t="s">
        <v>12</v>
      </c>
      <c r="V153" s="5" t="s">
        <v>12</v>
      </c>
      <c r="W153" s="5" t="s">
        <v>12</v>
      </c>
      <c r="X153" s="5" t="s">
        <v>12</v>
      </c>
      <c r="Y153" s="5" t="s">
        <v>12</v>
      </c>
      <c r="AD153" s="5" t="s">
        <v>12</v>
      </c>
      <c r="AE153" s="5" t="s">
        <v>12</v>
      </c>
      <c r="AF153" s="5" t="s">
        <v>12</v>
      </c>
      <c r="AG153" s="5" t="s">
        <v>12</v>
      </c>
    </row>
    <row r="154" spans="1:33" ht="18" x14ac:dyDescent="0.35">
      <c r="A154" s="8">
        <v>151</v>
      </c>
      <c r="B154" s="1" t="s">
        <v>39</v>
      </c>
      <c r="C154" s="1" t="s">
        <v>1</v>
      </c>
      <c r="D154" s="1" t="s">
        <v>71</v>
      </c>
      <c r="E154" s="2" t="s">
        <v>0</v>
      </c>
      <c r="F154" s="1" t="s">
        <v>119</v>
      </c>
      <c r="G154" s="1" t="s">
        <v>1</v>
      </c>
      <c r="H154" s="1" t="s">
        <v>6</v>
      </c>
      <c r="I154" s="5" t="s">
        <v>12</v>
      </c>
      <c r="J154" s="5" t="s">
        <v>12</v>
      </c>
      <c r="K154" s="5" t="s">
        <v>12</v>
      </c>
      <c r="L154" s="4">
        <f>0.00000000000000387*($B$1/298)^2.28*EXP(-33400/(8.314*$B$1))</f>
        <v>3.9275370252086601E-18</v>
      </c>
      <c r="M154" s="139">
        <v>70</v>
      </c>
      <c r="N154" s="139"/>
      <c r="O154" s="8" t="s">
        <v>156</v>
      </c>
      <c r="P154" s="5" t="s">
        <v>12</v>
      </c>
      <c r="Q154" s="5" t="s">
        <v>12</v>
      </c>
      <c r="R154" s="5" t="s">
        <v>12</v>
      </c>
      <c r="S154" s="5" t="s">
        <v>12</v>
      </c>
      <c r="V154" s="5" t="s">
        <v>12</v>
      </c>
      <c r="W154" s="5" t="s">
        <v>12</v>
      </c>
      <c r="X154" s="5" t="s">
        <v>12</v>
      </c>
      <c r="Y154" s="5" t="s">
        <v>12</v>
      </c>
      <c r="AD154" s="5" t="s">
        <v>12</v>
      </c>
      <c r="AE154" s="5" t="s">
        <v>12</v>
      </c>
      <c r="AF154" s="5" t="s">
        <v>12</v>
      </c>
      <c r="AG154" s="5" t="s">
        <v>12</v>
      </c>
    </row>
    <row r="155" spans="1:33" ht="18" x14ac:dyDescent="0.35">
      <c r="A155" s="8">
        <v>152</v>
      </c>
      <c r="B155" s="150" t="s">
        <v>39</v>
      </c>
      <c r="C155" s="137" t="s">
        <v>1</v>
      </c>
      <c r="D155" s="137" t="s">
        <v>42</v>
      </c>
      <c r="E155" s="149" t="s">
        <v>0</v>
      </c>
      <c r="F155" s="1" t="s">
        <v>89</v>
      </c>
      <c r="G155" s="1" t="s">
        <v>1</v>
      </c>
      <c r="H155" s="1" t="s">
        <v>48</v>
      </c>
      <c r="I155" s="6">
        <f>1.48E-19*$B$1^2*EXP(-12400/$B$1)</f>
        <v>5.6817219435335781E-25</v>
      </c>
      <c r="J155" s="4">
        <f>0.000000000000000288*$B$1^1.17*EXP(-14876/$B$1)</f>
        <v>4.4278071135757706E-26</v>
      </c>
      <c r="K155" s="6">
        <f>5.75E-26*$B$1^4.04*EXP(-14566/$B$1)</f>
        <v>9.0813452600941998E-28</v>
      </c>
      <c r="L155" s="5" t="s">
        <v>12</v>
      </c>
      <c r="M155" s="139">
        <v>72</v>
      </c>
      <c r="N155" s="139"/>
      <c r="O155" s="168" t="s">
        <v>505</v>
      </c>
      <c r="P155" s="5" t="s">
        <v>12</v>
      </c>
      <c r="Q155" s="5" t="s">
        <v>12</v>
      </c>
      <c r="R155" s="5" t="s">
        <v>12</v>
      </c>
      <c r="S155" s="5" t="s">
        <v>12</v>
      </c>
      <c r="V155" s="5" t="s">
        <v>12</v>
      </c>
      <c r="W155" s="5" t="s">
        <v>12</v>
      </c>
      <c r="X155" s="5" t="s">
        <v>12</v>
      </c>
      <c r="Y155" s="5" t="s">
        <v>12</v>
      </c>
      <c r="AD155" s="5" t="s">
        <v>12</v>
      </c>
      <c r="AE155" s="5" t="s">
        <v>12</v>
      </c>
      <c r="AF155" s="5" t="s">
        <v>12</v>
      </c>
      <c r="AG155" s="5" t="s">
        <v>12</v>
      </c>
    </row>
    <row r="156" spans="1:33" ht="18" x14ac:dyDescent="0.35">
      <c r="A156" s="8">
        <v>153</v>
      </c>
      <c r="B156" s="150"/>
      <c r="C156" s="137"/>
      <c r="D156" s="137"/>
      <c r="E156" s="149"/>
      <c r="F156" s="1" t="s">
        <v>88</v>
      </c>
      <c r="G156" s="1" t="s">
        <v>1</v>
      </c>
      <c r="H156" s="1" t="s">
        <v>48</v>
      </c>
      <c r="I156" s="5" t="s">
        <v>12</v>
      </c>
      <c r="J156" s="5" t="s">
        <v>12</v>
      </c>
      <c r="K156" s="5" t="s">
        <v>12</v>
      </c>
      <c r="L156" s="4">
        <f>0.0000000000000031*($B$1/298)^2.96*EXP(-102000/(8.314*$B$1))</f>
        <v>2.8578641092325459E-25</v>
      </c>
      <c r="M156" s="139"/>
      <c r="N156" s="139"/>
      <c r="O156" s="168"/>
      <c r="P156" s="5" t="s">
        <v>12</v>
      </c>
      <c r="Q156" s="5" t="s">
        <v>12</v>
      </c>
      <c r="R156" s="5" t="s">
        <v>12</v>
      </c>
      <c r="S156" s="5" t="s">
        <v>12</v>
      </c>
      <c r="V156" s="5" t="s">
        <v>12</v>
      </c>
      <c r="W156" s="5" t="s">
        <v>12</v>
      </c>
      <c r="X156" s="5" t="s">
        <v>12</v>
      </c>
      <c r="Y156" s="5" t="s">
        <v>12</v>
      </c>
      <c r="AD156" s="5" t="s">
        <v>12</v>
      </c>
      <c r="AE156" s="5" t="s">
        <v>12</v>
      </c>
      <c r="AF156" s="5" t="s">
        <v>12</v>
      </c>
      <c r="AG156" s="5" t="s">
        <v>12</v>
      </c>
    </row>
    <row r="157" spans="1:33" ht="18" customHeight="1" x14ac:dyDescent="0.25">
      <c r="A157" s="8">
        <v>154</v>
      </c>
      <c r="B157" s="150" t="s">
        <v>39</v>
      </c>
      <c r="C157" s="137" t="s">
        <v>1</v>
      </c>
      <c r="D157" s="137" t="s">
        <v>14</v>
      </c>
      <c r="E157" s="149" t="s">
        <v>0</v>
      </c>
      <c r="F157" s="1" t="s">
        <v>47</v>
      </c>
      <c r="G157" s="1" t="s">
        <v>1</v>
      </c>
      <c r="H157" s="1" t="s">
        <v>29</v>
      </c>
      <c r="I157" s="16" t="s">
        <v>12</v>
      </c>
      <c r="J157" s="16" t="s">
        <v>12</v>
      </c>
      <c r="K157" s="16" t="s">
        <v>12</v>
      </c>
      <c r="L157" s="4">
        <f>0.00000000149*$B$1^-0.489*EXP(-1360/(8.314*$B$1))</f>
        <v>5.147141997174752E-11</v>
      </c>
      <c r="M157" s="139">
        <v>94</v>
      </c>
      <c r="N157" s="139"/>
      <c r="O157" s="24" t="s">
        <v>316</v>
      </c>
      <c r="P157" s="16" t="s">
        <v>12</v>
      </c>
      <c r="Q157" s="16" t="s">
        <v>12</v>
      </c>
      <c r="R157" s="16" t="s">
        <v>12</v>
      </c>
      <c r="S157" s="18">
        <v>5.9899999999999995E-11</v>
      </c>
      <c r="T157" s="81">
        <v>95</v>
      </c>
      <c r="U157" s="60" t="s">
        <v>507</v>
      </c>
      <c r="V157" s="53" t="s">
        <v>12</v>
      </c>
      <c r="W157" s="16" t="s">
        <v>12</v>
      </c>
      <c r="X157" s="16" t="s">
        <v>12</v>
      </c>
      <c r="Y157" s="18">
        <f>0.00000000105*($B$1/298)^-0.3*EXP(-122000/(8.314*$B$1))</f>
        <v>1.4494371281103402E-22</v>
      </c>
      <c r="Z157" s="139">
        <v>77</v>
      </c>
      <c r="AA157" s="139"/>
      <c r="AB157" s="50" t="s">
        <v>234</v>
      </c>
      <c r="AC157" s="31"/>
      <c r="AD157" s="5" t="s">
        <v>12</v>
      </c>
      <c r="AE157" s="5" t="s">
        <v>12</v>
      </c>
      <c r="AF157" s="5" t="s">
        <v>12</v>
      </c>
      <c r="AG157" s="5" t="s">
        <v>12</v>
      </c>
    </row>
    <row r="158" spans="1:33" ht="18" x14ac:dyDescent="0.25">
      <c r="A158" s="8">
        <v>155</v>
      </c>
      <c r="B158" s="150"/>
      <c r="C158" s="137"/>
      <c r="D158" s="137"/>
      <c r="E158" s="149"/>
      <c r="F158" s="1" t="s">
        <v>47</v>
      </c>
      <c r="G158" s="1" t="s">
        <v>1</v>
      </c>
      <c r="H158" s="1" t="s">
        <v>29</v>
      </c>
      <c r="I158" s="16" t="s">
        <v>12</v>
      </c>
      <c r="J158" s="16" t="s">
        <v>12</v>
      </c>
      <c r="K158" s="16" t="s">
        <v>12</v>
      </c>
      <c r="L158" s="4">
        <f>0.0000000000192*$B$1^0.057*EXP(120/(8.314*$B$1))</f>
        <v>2.816009276054473E-11</v>
      </c>
      <c r="M158" s="139"/>
      <c r="N158" s="139"/>
      <c r="O158" s="24" t="s">
        <v>317</v>
      </c>
      <c r="P158" s="5" t="s">
        <v>12</v>
      </c>
      <c r="Q158" s="5" t="s">
        <v>12</v>
      </c>
      <c r="R158" s="5" t="s">
        <v>12</v>
      </c>
      <c r="S158" s="5" t="s">
        <v>12</v>
      </c>
      <c r="T158" s="82"/>
      <c r="U158" s="60"/>
      <c r="V158" s="5" t="s">
        <v>12</v>
      </c>
      <c r="W158" s="5" t="s">
        <v>12</v>
      </c>
      <c r="X158" s="5" t="s">
        <v>12</v>
      </c>
      <c r="Y158" s="5" t="s">
        <v>12</v>
      </c>
      <c r="AB158" s="50"/>
      <c r="AC158" s="31"/>
      <c r="AD158" s="5" t="s">
        <v>12</v>
      </c>
      <c r="AE158" s="5" t="s">
        <v>12</v>
      </c>
      <c r="AF158" s="5" t="s">
        <v>12</v>
      </c>
      <c r="AG158" s="5" t="s">
        <v>12</v>
      </c>
    </row>
    <row r="159" spans="1:33" x14ac:dyDescent="0.25">
      <c r="A159" s="8">
        <v>156</v>
      </c>
      <c r="B159" s="150"/>
      <c r="C159" s="137"/>
      <c r="D159" s="137"/>
      <c r="E159" s="149"/>
      <c r="F159" s="1" t="s">
        <v>65</v>
      </c>
      <c r="G159" s="1" t="s">
        <v>1</v>
      </c>
      <c r="H159" s="1" t="s">
        <v>6</v>
      </c>
      <c r="I159" s="16" t="s">
        <v>12</v>
      </c>
      <c r="J159" s="16" t="s">
        <v>12</v>
      </c>
      <c r="K159" s="16" t="s">
        <v>12</v>
      </c>
      <c r="L159" s="4">
        <f>0.0000000000192*$B$1^0.35*EXP(841/(8.314*$B$1))</f>
        <v>2.0680708331194639E-10</v>
      </c>
      <c r="M159" s="139"/>
      <c r="N159" s="139"/>
      <c r="O159" s="24" t="s">
        <v>316</v>
      </c>
      <c r="P159" s="5" t="s">
        <v>12</v>
      </c>
      <c r="Q159" s="5" t="s">
        <v>12</v>
      </c>
      <c r="R159" s="5" t="s">
        <v>12</v>
      </c>
      <c r="S159" s="4">
        <v>4.9999999999999997E-12</v>
      </c>
      <c r="T159" s="81">
        <v>95</v>
      </c>
      <c r="U159" s="60" t="s">
        <v>507</v>
      </c>
      <c r="V159" s="5" t="s">
        <v>12</v>
      </c>
      <c r="W159" s="5" t="s">
        <v>12</v>
      </c>
      <c r="X159" s="5" t="s">
        <v>12</v>
      </c>
      <c r="Y159" s="4">
        <f>0.00000000000294*($B$1/298)^0.1*EXP(-48220/(8.314*$B$1))</f>
        <v>2.718081143273587E-17</v>
      </c>
      <c r="Z159" s="139">
        <v>77</v>
      </c>
      <c r="AA159" s="139"/>
      <c r="AB159" s="26" t="s">
        <v>235</v>
      </c>
      <c r="AD159" s="5" t="s">
        <v>12</v>
      </c>
      <c r="AE159" s="5" t="s">
        <v>12</v>
      </c>
      <c r="AF159" s="5" t="s">
        <v>12</v>
      </c>
      <c r="AG159" s="5" t="s">
        <v>12</v>
      </c>
    </row>
    <row r="160" spans="1:33" ht="18" x14ac:dyDescent="0.35">
      <c r="A160" s="8">
        <v>157</v>
      </c>
      <c r="B160" s="150"/>
      <c r="C160" s="137"/>
      <c r="D160" s="137"/>
      <c r="E160" s="149"/>
      <c r="F160" s="1" t="s">
        <v>43</v>
      </c>
      <c r="G160" s="1" t="s">
        <v>1</v>
      </c>
      <c r="H160" s="1" t="s">
        <v>31</v>
      </c>
      <c r="I160" s="16" t="s">
        <v>12</v>
      </c>
      <c r="J160" s="16" t="s">
        <v>12</v>
      </c>
      <c r="K160" s="16" t="s">
        <v>12</v>
      </c>
      <c r="L160" s="4">
        <f>0.000000000000000217*$B$1^1.025*EXP(2620/(8.314*$B$1))</f>
        <v>2.3767844311412622E-13</v>
      </c>
      <c r="M160" s="139"/>
      <c r="N160" s="139"/>
      <c r="O160" s="24" t="s">
        <v>317</v>
      </c>
      <c r="P160" s="5" t="s">
        <v>12</v>
      </c>
      <c r="Q160" s="5" t="s">
        <v>12</v>
      </c>
      <c r="R160" s="5" t="s">
        <v>12</v>
      </c>
      <c r="S160" s="4">
        <v>8.2999999999999998E-12</v>
      </c>
      <c r="T160" s="81">
        <v>77</v>
      </c>
      <c r="U160" s="55" t="s">
        <v>235</v>
      </c>
      <c r="V160" s="5" t="s">
        <v>12</v>
      </c>
      <c r="W160" s="5" t="s">
        <v>12</v>
      </c>
      <c r="X160" s="5" t="s">
        <v>12</v>
      </c>
      <c r="Y160" s="5" t="s">
        <v>12</v>
      </c>
      <c r="AD160" s="5" t="s">
        <v>12</v>
      </c>
      <c r="AE160" s="5" t="s">
        <v>12</v>
      </c>
      <c r="AF160" s="5" t="s">
        <v>12</v>
      </c>
      <c r="AG160" s="5" t="s">
        <v>12</v>
      </c>
    </row>
    <row r="161" spans="1:35" ht="18" x14ac:dyDescent="0.35">
      <c r="A161" s="8">
        <v>158</v>
      </c>
      <c r="B161" s="1" t="s">
        <v>39</v>
      </c>
      <c r="C161" s="1" t="s">
        <v>1</v>
      </c>
      <c r="D161" s="1" t="s">
        <v>23</v>
      </c>
      <c r="E161" s="2" t="s">
        <v>0</v>
      </c>
      <c r="F161" s="1" t="s">
        <v>85</v>
      </c>
      <c r="G161" s="1"/>
      <c r="H161" s="1"/>
      <c r="I161" s="5" t="s">
        <v>12</v>
      </c>
      <c r="J161" s="5" t="s">
        <v>12</v>
      </c>
      <c r="K161" s="5" t="s">
        <v>12</v>
      </c>
      <c r="L161" s="4">
        <f>0.0000433*$B$1^-3.683*EXP(-6820/(8.314*$B$1))</f>
        <v>9.7041663924168824E-16</v>
      </c>
      <c r="M161" s="139"/>
      <c r="N161" s="139"/>
      <c r="O161" s="9" t="s">
        <v>318</v>
      </c>
      <c r="P161" s="5" t="s">
        <v>12</v>
      </c>
      <c r="Q161" s="5" t="s">
        <v>12</v>
      </c>
      <c r="R161" s="5" t="s">
        <v>12</v>
      </c>
      <c r="S161" s="5" t="s">
        <v>12</v>
      </c>
      <c r="T161" s="82"/>
      <c r="U161" s="61"/>
      <c r="V161" s="5" t="s">
        <v>12</v>
      </c>
      <c r="W161" s="5" t="s">
        <v>12</v>
      </c>
      <c r="X161" s="5" t="s">
        <v>12</v>
      </c>
      <c r="Y161" s="5" t="s">
        <v>12</v>
      </c>
      <c r="AD161" s="5" t="s">
        <v>12</v>
      </c>
      <c r="AE161" s="5" t="s">
        <v>12</v>
      </c>
      <c r="AF161" s="5" t="s">
        <v>12</v>
      </c>
      <c r="AG161" s="5" t="s">
        <v>12</v>
      </c>
    </row>
    <row r="162" spans="1:35" ht="18" x14ac:dyDescent="0.35">
      <c r="A162" s="8">
        <v>159</v>
      </c>
      <c r="B162" s="150" t="s">
        <v>39</v>
      </c>
      <c r="C162" s="137" t="s">
        <v>1</v>
      </c>
      <c r="D162" s="137" t="s">
        <v>6</v>
      </c>
      <c r="E162" s="149" t="s">
        <v>0</v>
      </c>
      <c r="F162" s="1" t="s">
        <v>48</v>
      </c>
      <c r="G162" s="1" t="s">
        <v>1</v>
      </c>
      <c r="H162" s="1" t="s">
        <v>29</v>
      </c>
      <c r="I162" s="5" t="s">
        <v>12</v>
      </c>
      <c r="J162" s="5" t="s">
        <v>12</v>
      </c>
      <c r="K162" s="5" t="s">
        <v>12</v>
      </c>
      <c r="L162" s="4">
        <f>0.000000000106*($B$1/298)*EXP(-77100/(8.314*$B$1))</f>
        <v>1.457684816612578E-18</v>
      </c>
      <c r="M162" s="139">
        <v>82</v>
      </c>
      <c r="N162" s="139"/>
      <c r="O162" s="138" t="s">
        <v>157</v>
      </c>
      <c r="P162" s="5" t="s">
        <v>12</v>
      </c>
      <c r="Q162" s="5" t="s">
        <v>12</v>
      </c>
      <c r="R162" s="5" t="s">
        <v>12</v>
      </c>
      <c r="S162" s="5" t="s">
        <v>12</v>
      </c>
      <c r="V162" s="5" t="s">
        <v>12</v>
      </c>
      <c r="W162" s="5" t="s">
        <v>12</v>
      </c>
      <c r="X162" s="5" t="s">
        <v>12</v>
      </c>
      <c r="Y162" s="5" t="s">
        <v>12</v>
      </c>
      <c r="AD162" s="5" t="s">
        <v>12</v>
      </c>
      <c r="AE162" s="5" t="s">
        <v>12</v>
      </c>
      <c r="AF162" s="5" t="s">
        <v>12</v>
      </c>
      <c r="AG162" s="5" t="s">
        <v>12</v>
      </c>
    </row>
    <row r="163" spans="1:35" ht="18" x14ac:dyDescent="0.35">
      <c r="A163" s="8">
        <v>160</v>
      </c>
      <c r="B163" s="150"/>
      <c r="C163" s="137"/>
      <c r="D163" s="137"/>
      <c r="E163" s="149"/>
      <c r="F163" s="1" t="s">
        <v>92</v>
      </c>
      <c r="I163" s="5" t="s">
        <v>12</v>
      </c>
      <c r="J163" s="5" t="s">
        <v>12</v>
      </c>
      <c r="K163" s="5" t="s">
        <v>12</v>
      </c>
      <c r="L163" s="4">
        <f>0.000000000677*($B$1/298)^-3.23*EXP(-5600/(8.314*$B$1))</f>
        <v>3.3312877546254308E-11</v>
      </c>
      <c r="M163" s="139"/>
      <c r="N163" s="139"/>
      <c r="O163" s="138"/>
      <c r="P163" s="5" t="s">
        <v>12</v>
      </c>
      <c r="Q163" s="5" t="s">
        <v>12</v>
      </c>
      <c r="R163" s="5" t="s">
        <v>12</v>
      </c>
      <c r="S163" s="4">
        <f>0.000000000105*($B$1/298)^-0.27*EXP(230/(8.314*$B$1))</f>
        <v>9.661810003772953E-11</v>
      </c>
      <c r="T163" s="78">
        <v>64</v>
      </c>
      <c r="U163" s="55" t="s">
        <v>163</v>
      </c>
      <c r="V163" s="5" t="s">
        <v>12</v>
      </c>
      <c r="W163" s="5" t="s">
        <v>12</v>
      </c>
      <c r="X163" s="5" t="s">
        <v>12</v>
      </c>
      <c r="Y163" s="4">
        <f>0.16*($B$1/298)^-5.96*EXP(-279000/(8.314*$B$1))</f>
        <v>4.1490879169171369E-32</v>
      </c>
      <c r="Z163" s="146">
        <v>64</v>
      </c>
      <c r="AA163" s="146"/>
      <c r="AB163" s="15" t="s">
        <v>320</v>
      </c>
      <c r="AD163" s="5" t="s">
        <v>12</v>
      </c>
      <c r="AE163" s="5" t="s">
        <v>12</v>
      </c>
      <c r="AF163" s="5" t="s">
        <v>12</v>
      </c>
      <c r="AG163" s="5" t="s">
        <v>12</v>
      </c>
    </row>
    <row r="164" spans="1:35" ht="18" x14ac:dyDescent="0.35">
      <c r="A164" s="8">
        <v>161</v>
      </c>
      <c r="B164" s="150"/>
      <c r="C164" s="137"/>
      <c r="D164" s="137"/>
      <c r="E164" s="149"/>
      <c r="F164" s="1" t="s">
        <v>65</v>
      </c>
      <c r="G164" s="1" t="s">
        <v>1</v>
      </c>
      <c r="H164" s="1" t="s">
        <v>32</v>
      </c>
      <c r="I164" s="5" t="s">
        <v>12</v>
      </c>
      <c r="J164" s="5" t="s">
        <v>12</v>
      </c>
      <c r="K164" s="5" t="s">
        <v>12</v>
      </c>
      <c r="L164" s="4">
        <f>0.00000000000119*($B$1/298)^1.97*EXP(-2800/(8.314*$B$1))</f>
        <v>1.6654418640391019E-12</v>
      </c>
      <c r="M164" s="139"/>
      <c r="N164" s="139"/>
      <c r="O164" s="138"/>
      <c r="P164" s="5" t="s">
        <v>12</v>
      </c>
      <c r="Q164" s="5" t="s">
        <v>12</v>
      </c>
      <c r="R164" s="5" t="s">
        <v>12</v>
      </c>
      <c r="S164" s="4">
        <f>0.000000000000769*($B$1/298)^1.5*EXP(1910/(8.314*$B$1))</f>
        <v>2.6358866475720509E-12</v>
      </c>
      <c r="T164" s="81">
        <v>77</v>
      </c>
      <c r="U164" s="55" t="s">
        <v>236</v>
      </c>
      <c r="V164" s="5" t="s">
        <v>12</v>
      </c>
      <c r="W164" s="5" t="s">
        <v>12</v>
      </c>
      <c r="X164" s="5" t="s">
        <v>12</v>
      </c>
      <c r="Y164" s="4">
        <f>0.000000000101*($B$1/298)*EXP(-137000/(8.314*$B$1))</f>
        <v>7.2694725926167528E-25</v>
      </c>
      <c r="Z164" s="139">
        <v>96</v>
      </c>
      <c r="AA164" s="139"/>
      <c r="AB164" s="15" t="s">
        <v>180</v>
      </c>
      <c r="AD164" s="5" t="s">
        <v>12</v>
      </c>
      <c r="AE164" s="5" t="s">
        <v>12</v>
      </c>
      <c r="AF164" s="5" t="s">
        <v>12</v>
      </c>
      <c r="AG164" s="4">
        <f>0.00000000000181*($B$1/298)^1.6*EXP(-117000/(8.314*$B$1))</f>
        <v>2.2180289311645717E-24</v>
      </c>
      <c r="AH164" s="81">
        <v>77</v>
      </c>
      <c r="AI164" s="8" t="s">
        <v>237</v>
      </c>
    </row>
    <row r="165" spans="1:35" ht="18.75" x14ac:dyDescent="0.35">
      <c r="A165" s="8">
        <v>162</v>
      </c>
      <c r="B165" s="150"/>
      <c r="C165" s="137"/>
      <c r="D165" s="137"/>
      <c r="E165" s="149"/>
      <c r="F165" s="1" t="s">
        <v>98</v>
      </c>
      <c r="G165" s="1" t="s">
        <v>1</v>
      </c>
      <c r="H165" s="1" t="s">
        <v>32</v>
      </c>
      <c r="I165" s="5" t="s">
        <v>12</v>
      </c>
      <c r="J165" s="5" t="s">
        <v>12</v>
      </c>
      <c r="K165" s="5" t="s">
        <v>12</v>
      </c>
      <c r="L165" s="4">
        <f>0.000000000000112*($B$1/298)^2.79*EXP(-180000/(8.314*$B$1))</f>
        <v>6.2632883232526457E-32</v>
      </c>
      <c r="M165" s="139"/>
      <c r="N165" s="139"/>
      <c r="O165" s="138"/>
      <c r="P165" s="5" t="s">
        <v>12</v>
      </c>
      <c r="Q165" s="5" t="s">
        <v>12</v>
      </c>
      <c r="R165" s="5" t="s">
        <v>12</v>
      </c>
      <c r="S165" s="5" t="s">
        <v>12</v>
      </c>
      <c r="V165" s="5" t="s">
        <v>12</v>
      </c>
      <c r="W165" s="5" t="s">
        <v>12</v>
      </c>
      <c r="X165" s="5" t="s">
        <v>12</v>
      </c>
      <c r="Y165" s="5" t="s">
        <v>12</v>
      </c>
      <c r="AD165" s="5" t="s">
        <v>12</v>
      </c>
      <c r="AE165" s="5" t="s">
        <v>12</v>
      </c>
      <c r="AF165" s="5" t="s">
        <v>12</v>
      </c>
      <c r="AG165" s="5" t="s">
        <v>12</v>
      </c>
    </row>
    <row r="166" spans="1:35" ht="18.75" x14ac:dyDescent="0.35">
      <c r="A166" s="8">
        <v>163</v>
      </c>
      <c r="B166" s="150"/>
      <c r="C166" s="137"/>
      <c r="D166" s="137"/>
      <c r="E166" s="149"/>
      <c r="F166" s="1" t="s">
        <v>94</v>
      </c>
      <c r="G166" s="1" t="s">
        <v>1</v>
      </c>
      <c r="H166" s="1" t="s">
        <v>32</v>
      </c>
      <c r="I166" s="5" t="s">
        <v>12</v>
      </c>
      <c r="J166" s="5" t="s">
        <v>12</v>
      </c>
      <c r="K166" s="5" t="s">
        <v>12</v>
      </c>
      <c r="L166" s="4">
        <f>0.000000000000353*($B$1/298)^1.97*EXP(-9400/(8.314*$B$1))</f>
        <v>1.0038628070077146E-13</v>
      </c>
      <c r="M166" s="139">
        <v>64</v>
      </c>
      <c r="N166" s="139"/>
      <c r="O166" s="8" t="s">
        <v>160</v>
      </c>
      <c r="P166" s="5" t="s">
        <v>12</v>
      </c>
      <c r="Q166" s="5" t="s">
        <v>12</v>
      </c>
      <c r="R166" s="5" t="s">
        <v>12</v>
      </c>
      <c r="S166" s="5" t="s">
        <v>12</v>
      </c>
      <c r="V166" s="5" t="s">
        <v>12</v>
      </c>
      <c r="W166" s="5" t="s">
        <v>12</v>
      </c>
      <c r="X166" s="5" t="s">
        <v>12</v>
      </c>
      <c r="Y166" s="5" t="s">
        <v>12</v>
      </c>
      <c r="AD166" s="5" t="s">
        <v>12</v>
      </c>
      <c r="AE166" s="5" t="s">
        <v>12</v>
      </c>
      <c r="AF166" s="5" t="s">
        <v>12</v>
      </c>
      <c r="AG166" s="5" t="s">
        <v>12</v>
      </c>
    </row>
    <row r="167" spans="1:35" ht="18" x14ac:dyDescent="0.35">
      <c r="A167" s="8">
        <v>164</v>
      </c>
      <c r="B167" s="150"/>
      <c r="C167" s="137"/>
      <c r="D167" s="137"/>
      <c r="E167" s="149"/>
      <c r="F167" s="1" t="s">
        <v>93</v>
      </c>
      <c r="G167" s="1" t="s">
        <v>1</v>
      </c>
      <c r="H167" s="1" t="s">
        <v>31</v>
      </c>
      <c r="I167" s="5" t="s">
        <v>12</v>
      </c>
      <c r="J167" s="5" t="s">
        <v>12</v>
      </c>
      <c r="K167" s="5" t="s">
        <v>12</v>
      </c>
      <c r="L167" s="4">
        <f>0.000000000399*($B$1/298)*EXP(-152000/(8.314*$B$1))</f>
        <v>7.6778361658280469E-26</v>
      </c>
      <c r="M167" s="139">
        <v>82</v>
      </c>
      <c r="N167" s="139"/>
      <c r="O167" s="138" t="s">
        <v>157</v>
      </c>
      <c r="P167" s="5" t="s">
        <v>12</v>
      </c>
      <c r="Q167" s="5" t="s">
        <v>12</v>
      </c>
      <c r="R167" s="5" t="s">
        <v>12</v>
      </c>
      <c r="S167" s="5" t="s">
        <v>12</v>
      </c>
      <c r="V167" s="5" t="s">
        <v>12</v>
      </c>
      <c r="W167" s="5" t="s">
        <v>12</v>
      </c>
      <c r="X167" s="5" t="s">
        <v>12</v>
      </c>
      <c r="Y167" s="5" t="s">
        <v>12</v>
      </c>
      <c r="AD167" s="5" t="s">
        <v>12</v>
      </c>
      <c r="AE167" s="5" t="s">
        <v>12</v>
      </c>
      <c r="AF167" s="5" t="s">
        <v>12</v>
      </c>
      <c r="AG167" s="5" t="s">
        <v>12</v>
      </c>
    </row>
    <row r="168" spans="1:35" ht="18" x14ac:dyDescent="0.35">
      <c r="A168" s="8">
        <v>165</v>
      </c>
      <c r="B168" s="150"/>
      <c r="C168" s="137"/>
      <c r="D168" s="137"/>
      <c r="E168" s="149"/>
      <c r="F168" s="1" t="s">
        <v>47</v>
      </c>
      <c r="G168" s="1" t="s">
        <v>1</v>
      </c>
      <c r="H168" s="1" t="s">
        <v>31</v>
      </c>
      <c r="I168" s="5" t="s">
        <v>12</v>
      </c>
      <c r="J168" s="5" t="s">
        <v>12</v>
      </c>
      <c r="K168" s="5" t="s">
        <v>12</v>
      </c>
      <c r="L168" s="4">
        <f>0.000000000098*($B$1/298)*EXP(-130000/(8.314*$B$1))</f>
        <v>3.8232692011404349E-24</v>
      </c>
      <c r="M168" s="139"/>
      <c r="N168" s="139"/>
      <c r="O168" s="138"/>
      <c r="P168" s="5" t="s">
        <v>12</v>
      </c>
      <c r="Q168" s="5" t="s">
        <v>12</v>
      </c>
      <c r="R168" s="5" t="s">
        <v>12</v>
      </c>
      <c r="S168" s="5" t="s">
        <v>12</v>
      </c>
      <c r="V168" s="5" t="s">
        <v>12</v>
      </c>
      <c r="W168" s="5" t="s">
        <v>12</v>
      </c>
      <c r="X168" s="5" t="s">
        <v>12</v>
      </c>
      <c r="Y168" s="5" t="s">
        <v>12</v>
      </c>
      <c r="AD168" s="5" t="s">
        <v>12</v>
      </c>
      <c r="AE168" s="5" t="s">
        <v>12</v>
      </c>
      <c r="AF168" s="5" t="s">
        <v>12</v>
      </c>
      <c r="AG168" s="5" t="s">
        <v>12</v>
      </c>
    </row>
    <row r="169" spans="1:35" ht="18" x14ac:dyDescent="0.35">
      <c r="A169" s="8">
        <v>166</v>
      </c>
      <c r="B169" s="150"/>
      <c r="C169" s="137"/>
      <c r="D169" s="137"/>
      <c r="E169" s="149"/>
      <c r="F169" s="1" t="s">
        <v>95</v>
      </c>
      <c r="I169" s="5" t="s">
        <v>12</v>
      </c>
      <c r="J169" s="5" t="s">
        <v>12</v>
      </c>
      <c r="K169" s="5" t="s">
        <v>12</v>
      </c>
      <c r="L169" s="4">
        <f>0.000000000121*($B$1/298)^-3.59*EXP(-6600/(8.314*$B$1))</f>
        <v>3.8870132195204513E-12</v>
      </c>
      <c r="M169" s="139"/>
      <c r="N169" s="139"/>
      <c r="O169" s="138"/>
      <c r="P169" s="5" t="s">
        <v>12</v>
      </c>
      <c r="Q169" s="5" t="s">
        <v>12</v>
      </c>
      <c r="R169" s="5" t="s">
        <v>12</v>
      </c>
      <c r="S169" s="5" t="s">
        <v>12</v>
      </c>
      <c r="V169" s="5" t="s">
        <v>12</v>
      </c>
      <c r="W169" s="5" t="s">
        <v>12</v>
      </c>
      <c r="X169" s="5" t="s">
        <v>12</v>
      </c>
      <c r="Y169" s="5" t="s">
        <v>12</v>
      </c>
      <c r="AD169" s="5" t="s">
        <v>12</v>
      </c>
      <c r="AE169" s="5" t="s">
        <v>12</v>
      </c>
      <c r="AF169" s="5" t="s">
        <v>12</v>
      </c>
      <c r="AG169" s="5" t="s">
        <v>12</v>
      </c>
    </row>
    <row r="170" spans="1:35" x14ac:dyDescent="0.25">
      <c r="A170" s="8">
        <v>167</v>
      </c>
      <c r="B170" s="150"/>
      <c r="C170" s="137"/>
      <c r="D170" s="137"/>
      <c r="E170" s="149"/>
      <c r="F170" s="1" t="s">
        <v>96</v>
      </c>
      <c r="G170" s="1" t="s">
        <v>1</v>
      </c>
      <c r="H170" s="1" t="s">
        <v>29</v>
      </c>
      <c r="I170" s="5" t="s">
        <v>12</v>
      </c>
      <c r="J170" s="5" t="s">
        <v>12</v>
      </c>
      <c r="K170" s="5" t="s">
        <v>12</v>
      </c>
      <c r="L170" s="4">
        <f>0.000000000083*($B$1/298)*EXP(-108000/(8.314*$B$1))</f>
        <v>6.5649247540118363E-22</v>
      </c>
      <c r="M170" s="139"/>
      <c r="N170" s="139"/>
      <c r="O170" s="138" t="s">
        <v>319</v>
      </c>
      <c r="P170" s="5" t="s">
        <v>12</v>
      </c>
      <c r="Q170" s="5" t="s">
        <v>12</v>
      </c>
      <c r="R170" s="5" t="s">
        <v>12</v>
      </c>
      <c r="S170" s="5" t="s">
        <v>12</v>
      </c>
      <c r="V170" s="5" t="s">
        <v>12</v>
      </c>
      <c r="W170" s="5" t="s">
        <v>12</v>
      </c>
      <c r="X170" s="5" t="s">
        <v>12</v>
      </c>
      <c r="Y170" s="5" t="s">
        <v>12</v>
      </c>
      <c r="AD170" s="5" t="s">
        <v>12</v>
      </c>
      <c r="AE170" s="5" t="s">
        <v>12</v>
      </c>
      <c r="AF170" s="5" t="s">
        <v>12</v>
      </c>
      <c r="AG170" s="5" t="s">
        <v>12</v>
      </c>
    </row>
    <row r="171" spans="1:35" x14ac:dyDescent="0.25">
      <c r="A171" s="8">
        <v>168</v>
      </c>
      <c r="B171" s="150"/>
      <c r="C171" s="137"/>
      <c r="D171" s="137"/>
      <c r="E171" s="149"/>
      <c r="F171" s="1" t="s">
        <v>97</v>
      </c>
      <c r="G171" s="1" t="s">
        <v>1</v>
      </c>
      <c r="H171" s="1" t="s">
        <v>29</v>
      </c>
      <c r="I171" s="5" t="s">
        <v>12</v>
      </c>
      <c r="J171" s="5" t="s">
        <v>12</v>
      </c>
      <c r="K171" s="5" t="s">
        <v>12</v>
      </c>
      <c r="L171" s="4">
        <f>0.000000000106*($B$1/298)*EXP(-131000/(8.314*$B$1))</f>
        <v>3.2482812772148508E-24</v>
      </c>
      <c r="M171" s="139"/>
      <c r="N171" s="139"/>
      <c r="O171" s="138"/>
      <c r="P171" s="5" t="s">
        <v>12</v>
      </c>
      <c r="Q171" s="5" t="s">
        <v>12</v>
      </c>
      <c r="R171" s="5" t="s">
        <v>12</v>
      </c>
      <c r="S171" s="5" t="s">
        <v>12</v>
      </c>
      <c r="V171" s="5" t="s">
        <v>12</v>
      </c>
      <c r="W171" s="5" t="s">
        <v>12</v>
      </c>
      <c r="X171" s="5" t="s">
        <v>12</v>
      </c>
      <c r="Y171" s="5" t="s">
        <v>12</v>
      </c>
      <c r="AD171" s="5" t="s">
        <v>12</v>
      </c>
      <c r="AE171" s="5" t="s">
        <v>12</v>
      </c>
      <c r="AF171" s="5" t="s">
        <v>12</v>
      </c>
      <c r="AG171" s="5" t="s">
        <v>12</v>
      </c>
    </row>
    <row r="172" spans="1:35" ht="18" x14ac:dyDescent="0.35">
      <c r="A172" s="8">
        <v>169</v>
      </c>
      <c r="B172" s="150" t="s">
        <v>39</v>
      </c>
      <c r="C172" s="137" t="s">
        <v>1</v>
      </c>
      <c r="D172" s="137" t="s">
        <v>7</v>
      </c>
      <c r="E172" s="149" t="s">
        <v>0</v>
      </c>
      <c r="F172" s="1" t="s">
        <v>99</v>
      </c>
      <c r="I172" s="5" t="s">
        <v>12</v>
      </c>
      <c r="J172" s="5" t="s">
        <v>12</v>
      </c>
      <c r="K172" s="5" t="s">
        <v>12</v>
      </c>
      <c r="L172" s="4">
        <f>0.0000000000000221*($B$1/298)^-3.52*EXP(-2420/(8.314*$B$1))</f>
        <v>2.0191200199077375E-15</v>
      </c>
      <c r="M172" s="139">
        <v>97</v>
      </c>
      <c r="N172" s="139"/>
      <c r="O172" s="8" t="s">
        <v>321</v>
      </c>
      <c r="P172" s="5" t="s">
        <v>12</v>
      </c>
      <c r="Q172" s="5" t="s">
        <v>12</v>
      </c>
      <c r="R172" s="5" t="s">
        <v>12</v>
      </c>
      <c r="S172" s="5" t="s">
        <v>12</v>
      </c>
      <c r="V172" s="5" t="s">
        <v>12</v>
      </c>
      <c r="W172" s="5" t="s">
        <v>12</v>
      </c>
      <c r="X172" s="5" t="s">
        <v>12</v>
      </c>
      <c r="Y172" s="5" t="s">
        <v>12</v>
      </c>
      <c r="AD172" s="5" t="s">
        <v>12</v>
      </c>
      <c r="AE172" s="5" t="s">
        <v>12</v>
      </c>
      <c r="AF172" s="5" t="s">
        <v>12</v>
      </c>
      <c r="AG172" s="5" t="s">
        <v>12</v>
      </c>
    </row>
    <row r="173" spans="1:35" ht="18" x14ac:dyDescent="0.35">
      <c r="A173" s="8">
        <v>170</v>
      </c>
      <c r="B173" s="150"/>
      <c r="C173" s="137"/>
      <c r="D173" s="137"/>
      <c r="E173" s="149"/>
      <c r="F173" s="1" t="s">
        <v>100</v>
      </c>
      <c r="I173" s="5" t="s">
        <v>12</v>
      </c>
      <c r="J173" s="5" t="s">
        <v>12</v>
      </c>
      <c r="K173" s="5" t="s">
        <v>12</v>
      </c>
      <c r="L173" s="4">
        <f>0.00000000000623*($B$1/298)^-4.63*EXP(-6040/(8.314*$B$1))</f>
        <v>1.3426760752451978E-13</v>
      </c>
      <c r="M173" s="139"/>
      <c r="N173" s="139"/>
      <c r="O173" s="8" t="s">
        <v>322</v>
      </c>
      <c r="P173" s="5" t="s">
        <v>12</v>
      </c>
      <c r="Q173" s="5" t="s">
        <v>12</v>
      </c>
      <c r="R173" s="5" t="s">
        <v>12</v>
      </c>
      <c r="S173" s="5" t="s">
        <v>12</v>
      </c>
      <c r="V173" s="5" t="s">
        <v>12</v>
      </c>
      <c r="W173" s="5" t="s">
        <v>12</v>
      </c>
      <c r="X173" s="5" t="s">
        <v>12</v>
      </c>
      <c r="Y173" s="5" t="s">
        <v>12</v>
      </c>
      <c r="AD173" s="5" t="s">
        <v>12</v>
      </c>
      <c r="AE173" s="5" t="s">
        <v>12</v>
      </c>
      <c r="AF173" s="5" t="s">
        <v>12</v>
      </c>
      <c r="AG173" s="5" t="s">
        <v>12</v>
      </c>
    </row>
    <row r="174" spans="1:35" ht="18" x14ac:dyDescent="0.35">
      <c r="A174" s="8">
        <v>171</v>
      </c>
      <c r="B174" s="150"/>
      <c r="C174" s="137"/>
      <c r="D174" s="137"/>
      <c r="E174" s="149"/>
      <c r="F174" s="1" t="s">
        <v>101</v>
      </c>
      <c r="I174" s="5" t="s">
        <v>12</v>
      </c>
      <c r="J174" s="5" t="s">
        <v>12</v>
      </c>
      <c r="K174" s="5" t="s">
        <v>12</v>
      </c>
      <c r="L174" s="4">
        <f>0.000000000000123*($B$1/298)^-5.4*EXP(-10230/(8.314*$B$1))</f>
        <v>6.4893288306089514E-16</v>
      </c>
      <c r="M174" s="139"/>
      <c r="N174" s="139"/>
      <c r="O174" s="8" t="s">
        <v>323</v>
      </c>
      <c r="P174" s="5" t="s">
        <v>12</v>
      </c>
      <c r="Q174" s="5" t="s">
        <v>12</v>
      </c>
      <c r="R174" s="5" t="s">
        <v>12</v>
      </c>
      <c r="S174" s="5" t="s">
        <v>12</v>
      </c>
      <c r="V174" s="5" t="s">
        <v>12</v>
      </c>
      <c r="W174" s="5" t="s">
        <v>12</v>
      </c>
      <c r="X174" s="5" t="s">
        <v>12</v>
      </c>
      <c r="Y174" s="5" t="s">
        <v>12</v>
      </c>
      <c r="AD174" s="5" t="s">
        <v>12</v>
      </c>
      <c r="AE174" s="5" t="s">
        <v>12</v>
      </c>
      <c r="AF174" s="5" t="s">
        <v>12</v>
      </c>
      <c r="AG174" s="5" t="s">
        <v>12</v>
      </c>
    </row>
    <row r="175" spans="1:35" ht="18" x14ac:dyDescent="0.35">
      <c r="A175" s="8">
        <v>172</v>
      </c>
      <c r="B175" s="150"/>
      <c r="C175" s="137"/>
      <c r="D175" s="137"/>
      <c r="E175" s="149"/>
      <c r="F175" s="1" t="s">
        <v>93</v>
      </c>
      <c r="G175" s="1" t="s">
        <v>1</v>
      </c>
      <c r="H175" s="1" t="s">
        <v>32</v>
      </c>
      <c r="I175" s="5" t="s">
        <v>12</v>
      </c>
      <c r="J175" s="5" t="s">
        <v>12</v>
      </c>
      <c r="K175" s="5" t="s">
        <v>12</v>
      </c>
      <c r="L175" s="4">
        <f>0.00000000000000136*($B$1/298)^0.64*EXP(-3390/(8.314*$B$1))</f>
        <v>8.3343563086232988E-16</v>
      </c>
      <c r="M175" s="139"/>
      <c r="N175" s="139"/>
      <c r="O175" s="8" t="s">
        <v>324</v>
      </c>
      <c r="P175" s="5" t="s">
        <v>12</v>
      </c>
      <c r="Q175" s="5" t="s">
        <v>12</v>
      </c>
      <c r="R175" s="5" t="s">
        <v>12</v>
      </c>
      <c r="S175" s="5" t="s">
        <v>12</v>
      </c>
      <c r="V175" s="5" t="s">
        <v>12</v>
      </c>
      <c r="W175" s="5" t="s">
        <v>12</v>
      </c>
      <c r="X175" s="5" t="s">
        <v>12</v>
      </c>
      <c r="Y175" s="5" t="s">
        <v>12</v>
      </c>
      <c r="AD175" s="5" t="s">
        <v>12</v>
      </c>
      <c r="AE175" s="5" t="s">
        <v>12</v>
      </c>
      <c r="AF175" s="5" t="s">
        <v>12</v>
      </c>
      <c r="AG175" s="5" t="s">
        <v>12</v>
      </c>
    </row>
    <row r="176" spans="1:35" ht="18" x14ac:dyDescent="0.35">
      <c r="A176" s="8">
        <v>173</v>
      </c>
      <c r="B176" s="150"/>
      <c r="C176" s="137"/>
      <c r="D176" s="137"/>
      <c r="E176" s="149"/>
      <c r="F176" s="1" t="s">
        <v>47</v>
      </c>
      <c r="G176" s="1" t="s">
        <v>1</v>
      </c>
      <c r="H176" s="1" t="s">
        <v>32</v>
      </c>
      <c r="I176" s="5" t="s">
        <v>12</v>
      </c>
      <c r="J176" s="5" t="s">
        <v>12</v>
      </c>
      <c r="K176" s="5" t="s">
        <v>12</v>
      </c>
      <c r="L176" s="4">
        <f>0.000000000000000603*($B$1/298)^0.55*EXP(-2200/(8.314*$B$1))</f>
        <v>4.7027528489155774E-16</v>
      </c>
      <c r="M176" s="139"/>
      <c r="N176" s="139"/>
      <c r="O176" s="8" t="s">
        <v>324</v>
      </c>
      <c r="P176" s="5" t="s">
        <v>12</v>
      </c>
      <c r="Q176" s="5" t="s">
        <v>12</v>
      </c>
      <c r="R176" s="5" t="s">
        <v>12</v>
      </c>
      <c r="S176" s="5" t="s">
        <v>12</v>
      </c>
      <c r="V176" s="5" t="s">
        <v>12</v>
      </c>
      <c r="W176" s="5" t="s">
        <v>12</v>
      </c>
      <c r="X176" s="5" t="s">
        <v>12</v>
      </c>
      <c r="Y176" s="5" t="s">
        <v>12</v>
      </c>
      <c r="AD176" s="5" t="s">
        <v>12</v>
      </c>
      <c r="AE176" s="5" t="s">
        <v>12</v>
      </c>
      <c r="AF176" s="5" t="s">
        <v>12</v>
      </c>
      <c r="AG176" s="5" t="s">
        <v>12</v>
      </c>
    </row>
    <row r="177" spans="1:33" ht="18" x14ac:dyDescent="0.35">
      <c r="A177" s="8">
        <v>174</v>
      </c>
      <c r="B177" s="150"/>
      <c r="C177" s="137"/>
      <c r="D177" s="137"/>
      <c r="E177" s="149"/>
      <c r="F177" s="1" t="s">
        <v>47</v>
      </c>
      <c r="G177" s="1" t="s">
        <v>1</v>
      </c>
      <c r="H177" s="1" t="s">
        <v>32</v>
      </c>
      <c r="I177" s="5" t="s">
        <v>12</v>
      </c>
      <c r="J177" s="5" t="s">
        <v>12</v>
      </c>
      <c r="K177" s="5" t="s">
        <v>12</v>
      </c>
      <c r="L177" s="4">
        <f>0.000000000016*($B$1/298)^-1.12*EXP(-2960/(8.314*$B$1))</f>
        <v>4.4036234142086487E-12</v>
      </c>
      <c r="M177" s="139"/>
      <c r="N177" s="139"/>
      <c r="O177" s="8" t="s">
        <v>325</v>
      </c>
      <c r="P177" s="5" t="s">
        <v>12</v>
      </c>
      <c r="Q177" s="5" t="s">
        <v>12</v>
      </c>
      <c r="R177" s="5" t="s">
        <v>12</v>
      </c>
      <c r="S177" s="5" t="s">
        <v>12</v>
      </c>
      <c r="V177" s="5" t="s">
        <v>12</v>
      </c>
      <c r="W177" s="5" t="s">
        <v>12</v>
      </c>
      <c r="X177" s="5" t="s">
        <v>12</v>
      </c>
      <c r="Y177" s="5" t="s">
        <v>12</v>
      </c>
      <c r="AD177" s="5" t="s">
        <v>12</v>
      </c>
      <c r="AE177" s="5" t="s">
        <v>12</v>
      </c>
      <c r="AF177" s="5" t="s">
        <v>12</v>
      </c>
      <c r="AG177" s="5" t="s">
        <v>12</v>
      </c>
    </row>
    <row r="178" spans="1:33" ht="18" x14ac:dyDescent="0.35">
      <c r="A178" s="8">
        <v>175</v>
      </c>
      <c r="B178" s="150"/>
      <c r="C178" s="137"/>
      <c r="D178" s="137"/>
      <c r="E178" s="149"/>
      <c r="F178" s="1" t="s">
        <v>38</v>
      </c>
      <c r="G178" s="1" t="s">
        <v>1</v>
      </c>
      <c r="H178" s="1" t="s">
        <v>23</v>
      </c>
      <c r="I178" s="5" t="s">
        <v>12</v>
      </c>
      <c r="J178" s="5" t="s">
        <v>12</v>
      </c>
      <c r="K178" s="5" t="s">
        <v>12</v>
      </c>
      <c r="L178" s="4">
        <f>0.000000000000000188*($B$1/298)^1.55*EXP(-8480/(8.314*$B$1))</f>
        <v>5.3803340181676118E-17</v>
      </c>
      <c r="M178" s="139"/>
      <c r="N178" s="139"/>
      <c r="O178" s="8" t="s">
        <v>326</v>
      </c>
      <c r="P178" s="5" t="s">
        <v>12</v>
      </c>
      <c r="Q178" s="5" t="s">
        <v>12</v>
      </c>
      <c r="R178" s="5" t="s">
        <v>12</v>
      </c>
      <c r="S178" s="5" t="s">
        <v>12</v>
      </c>
      <c r="V178" s="5" t="s">
        <v>12</v>
      </c>
      <c r="W178" s="5" t="s">
        <v>12</v>
      </c>
      <c r="X178" s="5" t="s">
        <v>12</v>
      </c>
      <c r="Y178" s="5" t="s">
        <v>12</v>
      </c>
      <c r="AD178" s="5" t="s">
        <v>12</v>
      </c>
      <c r="AE178" s="5" t="s">
        <v>12</v>
      </c>
      <c r="AF178" s="5" t="s">
        <v>12</v>
      </c>
      <c r="AG178" s="5" t="s">
        <v>12</v>
      </c>
    </row>
    <row r="179" spans="1:33" ht="18" x14ac:dyDescent="0.35">
      <c r="A179" s="8">
        <v>176</v>
      </c>
      <c r="B179" s="150"/>
      <c r="C179" s="137"/>
      <c r="D179" s="137"/>
      <c r="E179" s="149"/>
      <c r="F179" s="1" t="s">
        <v>48</v>
      </c>
      <c r="G179" s="1" t="s">
        <v>1</v>
      </c>
      <c r="H179" s="1" t="s">
        <v>6</v>
      </c>
      <c r="I179" s="5" t="s">
        <v>12</v>
      </c>
      <c r="J179" s="5" t="s">
        <v>12</v>
      </c>
      <c r="K179" s="5" t="s">
        <v>12</v>
      </c>
      <c r="L179" s="4">
        <f>0.000000000261*($B$1/298)^-1.32*EXP(-5220/(8.314*$B$1))</f>
        <v>3.7559168981118907E-11</v>
      </c>
      <c r="M179" s="139"/>
      <c r="N179" s="139"/>
      <c r="O179" s="8" t="s">
        <v>327</v>
      </c>
      <c r="P179" s="5" t="s">
        <v>12</v>
      </c>
      <c r="Q179" s="5" t="s">
        <v>12</v>
      </c>
      <c r="R179" s="5" t="s">
        <v>12</v>
      </c>
      <c r="S179" s="5" t="s">
        <v>12</v>
      </c>
      <c r="V179" s="5" t="s">
        <v>12</v>
      </c>
      <c r="W179" s="5" t="s">
        <v>12</v>
      </c>
      <c r="X179" s="5" t="s">
        <v>12</v>
      </c>
      <c r="Y179" s="5" t="s">
        <v>12</v>
      </c>
      <c r="AD179" s="5" t="s">
        <v>12</v>
      </c>
      <c r="AE179" s="5" t="s">
        <v>12</v>
      </c>
      <c r="AF179" s="5" t="s">
        <v>12</v>
      </c>
      <c r="AG179" s="5" t="s">
        <v>12</v>
      </c>
    </row>
    <row r="180" spans="1:33" ht="18" x14ac:dyDescent="0.35">
      <c r="A180" s="8">
        <v>177</v>
      </c>
      <c r="B180" s="1" t="s">
        <v>39</v>
      </c>
      <c r="C180" s="1" t="s">
        <v>1</v>
      </c>
      <c r="D180" s="1" t="s">
        <v>29</v>
      </c>
      <c r="E180" s="2" t="s">
        <v>0</v>
      </c>
      <c r="F180" s="1" t="s">
        <v>65</v>
      </c>
      <c r="G180" s="1" t="s">
        <v>1</v>
      </c>
      <c r="H180" s="1" t="s">
        <v>31</v>
      </c>
      <c r="I180" s="5" t="s">
        <v>12</v>
      </c>
      <c r="J180" s="5" t="s">
        <v>12</v>
      </c>
      <c r="K180" s="5" t="s">
        <v>12</v>
      </c>
      <c r="L180" s="4">
        <f>0.000000000105*($B$1/298)*EXP(-37000/(8.314*$B$1))</f>
        <v>2.3145934896348869E-14</v>
      </c>
      <c r="M180" s="139">
        <v>98</v>
      </c>
      <c r="N180" s="139"/>
      <c r="O180" s="9" t="s">
        <v>328</v>
      </c>
      <c r="P180" s="5" t="s">
        <v>12</v>
      </c>
      <c r="Q180" s="5" t="s">
        <v>12</v>
      </c>
      <c r="R180" s="5" t="s">
        <v>12</v>
      </c>
      <c r="S180" s="5" t="s">
        <v>12</v>
      </c>
      <c r="V180" s="5" t="s">
        <v>12</v>
      </c>
      <c r="W180" s="5" t="s">
        <v>12</v>
      </c>
      <c r="X180" s="5" t="s">
        <v>12</v>
      </c>
      <c r="Y180" s="5" t="s">
        <v>12</v>
      </c>
      <c r="AD180" s="5" t="s">
        <v>12</v>
      </c>
      <c r="AE180" s="5" t="s">
        <v>12</v>
      </c>
      <c r="AF180" s="5" t="s">
        <v>12</v>
      </c>
      <c r="AG180" s="5" t="s">
        <v>12</v>
      </c>
    </row>
    <row r="181" spans="1:33" x14ac:dyDescent="0.25">
      <c r="A181" s="8">
        <v>178</v>
      </c>
      <c r="B181" s="1" t="s">
        <v>65</v>
      </c>
      <c r="E181" s="2" t="s">
        <v>0</v>
      </c>
      <c r="F181" s="2" t="s">
        <v>80</v>
      </c>
      <c r="G181" s="1" t="s">
        <v>1</v>
      </c>
      <c r="H181" s="1" t="s">
        <v>29</v>
      </c>
      <c r="I181" s="5" t="s">
        <v>12</v>
      </c>
      <c r="J181" s="5" t="s">
        <v>12</v>
      </c>
      <c r="K181" s="5" t="s">
        <v>12</v>
      </c>
      <c r="L181" s="4">
        <f>0.000000000299*($B$1/298)*EXP(-313000/(8.314*$B$1))</f>
        <v>7.5389325338451106E-43</v>
      </c>
      <c r="M181" s="139">
        <v>85</v>
      </c>
      <c r="N181" s="139"/>
      <c r="O181" s="8" t="s">
        <v>329</v>
      </c>
      <c r="P181" s="5" t="s">
        <v>12</v>
      </c>
      <c r="Q181" s="5" t="s">
        <v>12</v>
      </c>
      <c r="R181" s="5" t="s">
        <v>12</v>
      </c>
      <c r="S181" s="5" t="s">
        <v>12</v>
      </c>
      <c r="V181" s="5" t="s">
        <v>12</v>
      </c>
      <c r="W181" s="5" t="s">
        <v>12</v>
      </c>
      <c r="X181" s="5" t="s">
        <v>12</v>
      </c>
      <c r="Y181" s="5" t="s">
        <v>12</v>
      </c>
      <c r="AD181" s="5" t="s">
        <v>12</v>
      </c>
      <c r="AE181" s="5" t="s">
        <v>12</v>
      </c>
      <c r="AF181" s="5" t="s">
        <v>12</v>
      </c>
      <c r="AG181" s="5" t="s">
        <v>12</v>
      </c>
    </row>
    <row r="182" spans="1:33" ht="18" x14ac:dyDescent="0.35">
      <c r="A182" s="8">
        <v>179</v>
      </c>
      <c r="B182" s="150" t="s">
        <v>65</v>
      </c>
      <c r="C182" s="137" t="s">
        <v>1</v>
      </c>
      <c r="D182" s="137" t="s">
        <v>65</v>
      </c>
      <c r="E182" s="149" t="s">
        <v>0</v>
      </c>
      <c r="F182" s="1" t="s">
        <v>39</v>
      </c>
      <c r="G182" s="1" t="s">
        <v>1</v>
      </c>
      <c r="H182" s="1" t="s">
        <v>80</v>
      </c>
      <c r="I182" s="5" t="s">
        <v>12</v>
      </c>
      <c r="J182" s="5" t="s">
        <v>12</v>
      </c>
      <c r="K182" s="5" t="s">
        <v>12</v>
      </c>
      <c r="L182" s="4">
        <f>0.00000000000000374*($B$1/298)^3.88*EXP(-1430/(8.314*$B$1))</f>
        <v>1.9440997046793829E-14</v>
      </c>
      <c r="M182" s="139">
        <v>64</v>
      </c>
      <c r="N182" s="139"/>
      <c r="O182" s="8" t="s">
        <v>160</v>
      </c>
      <c r="P182" s="5" t="s">
        <v>12</v>
      </c>
      <c r="Q182" s="5" t="s">
        <v>12</v>
      </c>
      <c r="R182" s="5" t="s">
        <v>12</v>
      </c>
      <c r="S182" s="5" t="s">
        <v>12</v>
      </c>
      <c r="V182" s="5" t="s">
        <v>12</v>
      </c>
      <c r="W182" s="5" t="s">
        <v>12</v>
      </c>
      <c r="X182" s="5" t="s">
        <v>12</v>
      </c>
      <c r="Y182" s="5" t="s">
        <v>12</v>
      </c>
      <c r="AD182" s="5" t="s">
        <v>12</v>
      </c>
      <c r="AE182" s="5" t="s">
        <v>12</v>
      </c>
      <c r="AF182" s="5" t="s">
        <v>12</v>
      </c>
      <c r="AG182" s="5" t="s">
        <v>12</v>
      </c>
    </row>
    <row r="183" spans="1:33" ht="18" x14ac:dyDescent="0.35">
      <c r="A183" s="8">
        <v>180</v>
      </c>
      <c r="B183" s="150"/>
      <c r="C183" s="137"/>
      <c r="D183" s="137"/>
      <c r="E183" s="149"/>
      <c r="F183" s="1" t="s">
        <v>77</v>
      </c>
      <c r="G183" s="1" t="s">
        <v>1</v>
      </c>
      <c r="H183" s="1" t="s">
        <v>102</v>
      </c>
      <c r="I183" s="5" t="s">
        <v>12</v>
      </c>
      <c r="J183" s="5" t="s">
        <v>12</v>
      </c>
      <c r="K183" s="5" t="s">
        <v>12</v>
      </c>
      <c r="L183" s="4">
        <v>1.1599999999999999E-9</v>
      </c>
      <c r="M183" s="139">
        <v>99</v>
      </c>
      <c r="N183" s="139"/>
      <c r="O183" s="8" t="s">
        <v>139</v>
      </c>
      <c r="P183" s="5" t="s">
        <v>12</v>
      </c>
      <c r="Q183" s="5" t="s">
        <v>12</v>
      </c>
      <c r="R183" s="5" t="s">
        <v>12</v>
      </c>
      <c r="S183" s="5" t="s">
        <v>12</v>
      </c>
      <c r="V183" s="5" t="s">
        <v>12</v>
      </c>
      <c r="W183" s="5" t="s">
        <v>12</v>
      </c>
      <c r="X183" s="5" t="s">
        <v>12</v>
      </c>
      <c r="Y183" s="5" t="s">
        <v>12</v>
      </c>
      <c r="AD183" s="5" t="s">
        <v>12</v>
      </c>
      <c r="AE183" s="5" t="s">
        <v>12</v>
      </c>
      <c r="AF183" s="5" t="s">
        <v>12</v>
      </c>
      <c r="AG183" s="5" t="s">
        <v>12</v>
      </c>
    </row>
    <row r="184" spans="1:33" x14ac:dyDescent="0.25">
      <c r="A184" s="8">
        <v>181</v>
      </c>
      <c r="B184" s="150"/>
      <c r="C184" s="137"/>
      <c r="D184" s="137"/>
      <c r="E184" s="149"/>
      <c r="F184" s="1" t="s">
        <v>87</v>
      </c>
      <c r="I184" s="5" t="s">
        <v>12</v>
      </c>
      <c r="J184" s="5" t="s">
        <v>12</v>
      </c>
      <c r="K184" s="5" t="s">
        <v>12</v>
      </c>
      <c r="L184" s="4">
        <f>0.0000000000847*($B$1/298)^-0.04*EXP(670/(8.314*$B$1))</f>
        <v>9.7547142438905594E-11</v>
      </c>
      <c r="M184" s="139">
        <v>64</v>
      </c>
      <c r="N184" s="139"/>
      <c r="O184" s="8" t="s">
        <v>163</v>
      </c>
      <c r="P184" s="5" t="s">
        <v>12</v>
      </c>
      <c r="Q184" s="5" t="s">
        <v>12</v>
      </c>
      <c r="R184" s="5" t="s">
        <v>12</v>
      </c>
      <c r="S184" s="5" t="s">
        <v>12</v>
      </c>
      <c r="V184" s="5" t="s">
        <v>12</v>
      </c>
      <c r="W184" s="5" t="s">
        <v>12</v>
      </c>
      <c r="X184" s="5" t="s">
        <v>12</v>
      </c>
      <c r="Y184" s="5" t="s">
        <v>12</v>
      </c>
      <c r="AD184" s="5" t="s">
        <v>12</v>
      </c>
      <c r="AE184" s="5" t="s">
        <v>12</v>
      </c>
      <c r="AF184" s="5" t="s">
        <v>12</v>
      </c>
      <c r="AG184" s="5" t="s">
        <v>12</v>
      </c>
    </row>
    <row r="185" spans="1:33" x14ac:dyDescent="0.25">
      <c r="A185" s="8">
        <v>182</v>
      </c>
      <c r="B185" s="150" t="s">
        <v>65</v>
      </c>
      <c r="C185" s="137" t="s">
        <v>1</v>
      </c>
      <c r="D185" s="137" t="s">
        <v>43</v>
      </c>
      <c r="E185" s="149" t="s">
        <v>0</v>
      </c>
      <c r="F185" s="1" t="s">
        <v>104</v>
      </c>
      <c r="G185" s="1" t="s">
        <v>1</v>
      </c>
      <c r="H185" s="1" t="s">
        <v>14</v>
      </c>
      <c r="I185" s="5" t="s">
        <v>12</v>
      </c>
      <c r="J185" s="5" t="s">
        <v>12</v>
      </c>
      <c r="K185" s="5" t="s">
        <v>12</v>
      </c>
      <c r="L185" s="4">
        <f>0.0000000000307*($B$1/298)^0.21*EXP(-45480/(8.314*$B$1))</f>
        <v>5.8199403742621526E-16</v>
      </c>
      <c r="M185" s="139">
        <v>100</v>
      </c>
      <c r="N185" s="139"/>
      <c r="O185" s="143" t="s">
        <v>330</v>
      </c>
      <c r="P185" s="5" t="s">
        <v>12</v>
      </c>
      <c r="Q185" s="5" t="s">
        <v>12</v>
      </c>
      <c r="R185" s="5" t="s">
        <v>12</v>
      </c>
      <c r="S185" s="5" t="s">
        <v>12</v>
      </c>
      <c r="V185" s="5" t="s">
        <v>12</v>
      </c>
      <c r="W185" s="5" t="s">
        <v>12</v>
      </c>
      <c r="X185" s="5" t="s">
        <v>12</v>
      </c>
      <c r="Y185" s="5" t="s">
        <v>12</v>
      </c>
      <c r="AD185" s="5" t="s">
        <v>12</v>
      </c>
      <c r="AE185" s="5" t="s">
        <v>12</v>
      </c>
      <c r="AF185" s="5" t="s">
        <v>12</v>
      </c>
      <c r="AG185" s="5" t="s">
        <v>12</v>
      </c>
    </row>
    <row r="186" spans="1:33" ht="18" x14ac:dyDescent="0.35">
      <c r="A186" s="8">
        <v>183</v>
      </c>
      <c r="B186" s="150"/>
      <c r="C186" s="137"/>
      <c r="D186" s="137"/>
      <c r="E186" s="149"/>
      <c r="F186" s="1" t="s">
        <v>76</v>
      </c>
      <c r="G186" s="1" t="s">
        <v>1</v>
      </c>
      <c r="H186" s="1" t="s">
        <v>29</v>
      </c>
      <c r="I186" s="5" t="s">
        <v>12</v>
      </c>
      <c r="J186" s="5" t="s">
        <v>12</v>
      </c>
      <c r="K186" s="5" t="s">
        <v>12</v>
      </c>
      <c r="L186" s="4">
        <f>0.000000000117*($B$1/298)^-1.03*EXP(-3490/(8.314*$B$1))</f>
        <v>2.967444799864928E-11</v>
      </c>
      <c r="M186" s="139"/>
      <c r="N186" s="139"/>
      <c r="O186" s="143"/>
      <c r="P186" s="5" t="s">
        <v>12</v>
      </c>
      <c r="Q186" s="5" t="s">
        <v>12</v>
      </c>
      <c r="R186" s="5" t="s">
        <v>12</v>
      </c>
      <c r="S186" s="5" t="s">
        <v>12</v>
      </c>
      <c r="V186" s="5" t="s">
        <v>12</v>
      </c>
      <c r="W186" s="5" t="s">
        <v>12</v>
      </c>
      <c r="X186" s="5" t="s">
        <v>12</v>
      </c>
      <c r="Y186" s="5" t="s">
        <v>12</v>
      </c>
      <c r="AD186" s="5" t="s">
        <v>12</v>
      </c>
      <c r="AE186" s="5" t="s">
        <v>12</v>
      </c>
      <c r="AF186" s="5" t="s">
        <v>12</v>
      </c>
      <c r="AG186" s="5" t="s">
        <v>12</v>
      </c>
    </row>
    <row r="187" spans="1:33" ht="18" x14ac:dyDescent="0.35">
      <c r="A187" s="8">
        <v>184</v>
      </c>
      <c r="B187" s="150"/>
      <c r="C187" s="137"/>
      <c r="D187" s="137"/>
      <c r="E187" s="149"/>
      <c r="F187" s="1" t="s">
        <v>77</v>
      </c>
      <c r="G187" s="1" t="s">
        <v>1</v>
      </c>
      <c r="H187" s="1" t="s">
        <v>6</v>
      </c>
      <c r="I187" s="5" t="s">
        <v>12</v>
      </c>
      <c r="J187" s="5" t="s">
        <v>12</v>
      </c>
      <c r="K187" s="5" t="s">
        <v>12</v>
      </c>
      <c r="L187" s="4">
        <f>0.00000000000586*($B$1/298)^-0.5*EXP(-500/(8.314*$B$1))</f>
        <v>4.0169383018382533E-12</v>
      </c>
      <c r="M187" s="139"/>
      <c r="N187" s="139"/>
      <c r="O187" s="143"/>
      <c r="P187" s="5" t="s">
        <v>12</v>
      </c>
      <c r="Q187" s="5" t="s">
        <v>12</v>
      </c>
      <c r="R187" s="5" t="s">
        <v>12</v>
      </c>
      <c r="S187" s="5" t="s">
        <v>12</v>
      </c>
      <c r="V187" s="5" t="s">
        <v>12</v>
      </c>
      <c r="W187" s="5" t="s">
        <v>12</v>
      </c>
      <c r="X187" s="5" t="s">
        <v>12</v>
      </c>
      <c r="Y187" s="5" t="s">
        <v>12</v>
      </c>
      <c r="AD187" s="5" t="s">
        <v>12</v>
      </c>
      <c r="AE187" s="5" t="s">
        <v>12</v>
      </c>
      <c r="AF187" s="5" t="s">
        <v>12</v>
      </c>
      <c r="AG187" s="5" t="s">
        <v>12</v>
      </c>
    </row>
    <row r="188" spans="1:33" ht="18" customHeight="1" x14ac:dyDescent="0.25">
      <c r="A188" s="8">
        <v>185</v>
      </c>
      <c r="B188" s="150" t="s">
        <v>65</v>
      </c>
      <c r="C188" s="137" t="s">
        <v>1</v>
      </c>
      <c r="D188" s="137" t="s">
        <v>44</v>
      </c>
      <c r="E188" s="149" t="s">
        <v>0</v>
      </c>
      <c r="F188" s="1" t="s">
        <v>43</v>
      </c>
      <c r="G188" s="1" t="s">
        <v>1</v>
      </c>
      <c r="H188" s="1" t="s">
        <v>47</v>
      </c>
      <c r="I188" s="5" t="s">
        <v>12</v>
      </c>
      <c r="J188" s="5" t="s">
        <v>12</v>
      </c>
      <c r="K188" s="5" t="s">
        <v>12</v>
      </c>
      <c r="L188">
        <v>0.59</v>
      </c>
      <c r="M188" s="139">
        <v>101</v>
      </c>
      <c r="N188" s="139"/>
      <c r="O188" s="143" t="s">
        <v>331</v>
      </c>
      <c r="P188" s="5" t="s">
        <v>12</v>
      </c>
      <c r="Q188" s="5" t="s">
        <v>12</v>
      </c>
      <c r="R188" s="5" t="s">
        <v>12</v>
      </c>
      <c r="S188" s="5" t="s">
        <v>12</v>
      </c>
      <c r="V188" s="5" t="s">
        <v>12</v>
      </c>
      <c r="W188" s="5" t="s">
        <v>12</v>
      </c>
      <c r="X188" s="5" t="s">
        <v>12</v>
      </c>
      <c r="Y188" s="5" t="s">
        <v>12</v>
      </c>
      <c r="AD188" s="5" t="s">
        <v>12</v>
      </c>
      <c r="AE188" s="5" t="s">
        <v>12</v>
      </c>
      <c r="AF188" s="5" t="s">
        <v>12</v>
      </c>
      <c r="AG188" s="5" t="s">
        <v>12</v>
      </c>
    </row>
    <row r="189" spans="1:33" ht="18" x14ac:dyDescent="0.35">
      <c r="A189" s="8">
        <v>186</v>
      </c>
      <c r="B189" s="150"/>
      <c r="C189" s="137"/>
      <c r="D189" s="137"/>
      <c r="E189" s="149"/>
      <c r="F189" s="1" t="s">
        <v>76</v>
      </c>
      <c r="G189" s="1" t="s">
        <v>1</v>
      </c>
      <c r="H189" s="1" t="s">
        <v>6</v>
      </c>
      <c r="I189" s="5" t="s">
        <v>12</v>
      </c>
      <c r="J189" s="5" t="s">
        <v>12</v>
      </c>
      <c r="K189" s="5" t="s">
        <v>12</v>
      </c>
      <c r="L189">
        <v>0.41</v>
      </c>
      <c r="M189" s="139"/>
      <c r="N189" s="139"/>
      <c r="O189" s="143"/>
      <c r="P189" s="5" t="s">
        <v>12</v>
      </c>
      <c r="Q189" s="5" t="s">
        <v>12</v>
      </c>
      <c r="R189" s="5" t="s">
        <v>12</v>
      </c>
      <c r="S189" s="5" t="s">
        <v>12</v>
      </c>
      <c r="V189" s="5" t="s">
        <v>12</v>
      </c>
      <c r="W189" s="5" t="s">
        <v>12</v>
      </c>
      <c r="X189" s="5" t="s">
        <v>12</v>
      </c>
      <c r="Y189" s="5" t="s">
        <v>12</v>
      </c>
      <c r="AD189" s="5" t="s">
        <v>12</v>
      </c>
      <c r="AE189" s="5" t="s">
        <v>12</v>
      </c>
      <c r="AF189" s="5" t="s">
        <v>12</v>
      </c>
      <c r="AG189" s="5" t="s">
        <v>12</v>
      </c>
    </row>
    <row r="190" spans="1:33" ht="18" x14ac:dyDescent="0.35">
      <c r="A190" s="8">
        <v>187</v>
      </c>
      <c r="B190" s="150" t="s">
        <v>65</v>
      </c>
      <c r="C190" s="137" t="s">
        <v>1</v>
      </c>
      <c r="D190" s="137" t="s">
        <v>6</v>
      </c>
      <c r="E190" s="149" t="s">
        <v>0</v>
      </c>
      <c r="F190" s="1" t="s">
        <v>47</v>
      </c>
      <c r="G190" s="33" t="s">
        <v>1</v>
      </c>
      <c r="H190" s="33" t="s">
        <v>29</v>
      </c>
      <c r="I190" s="5" t="s">
        <v>12</v>
      </c>
      <c r="J190" s="5" t="s">
        <v>12</v>
      </c>
      <c r="K190" s="5" t="s">
        <v>12</v>
      </c>
      <c r="L190" s="4">
        <f>0.0000000000633*($B$1/298)^-0.38*EXP(190/(8.314*$B$1))</f>
        <v>5.4517086295472302E-11</v>
      </c>
      <c r="M190" s="139">
        <v>64</v>
      </c>
      <c r="N190" s="139"/>
      <c r="O190" s="8" t="s">
        <v>332</v>
      </c>
      <c r="P190" s="5" t="s">
        <v>12</v>
      </c>
      <c r="Q190" s="5" t="s">
        <v>12</v>
      </c>
      <c r="R190" s="5" t="s">
        <v>12</v>
      </c>
      <c r="S190" s="4">
        <f>0.0000000000332</f>
        <v>3.3199999999999999E-11</v>
      </c>
      <c r="T190" s="81">
        <v>77</v>
      </c>
      <c r="U190" s="55" t="s">
        <v>235</v>
      </c>
      <c r="V190" s="5" t="s">
        <v>12</v>
      </c>
      <c r="W190" s="5" t="s">
        <v>12</v>
      </c>
      <c r="X190" s="5" t="s">
        <v>12</v>
      </c>
      <c r="Y190" s="4">
        <f>0.00000000241*($B$1/298)^-0.5*EXP(-74910/(8.314*$B$1))</f>
        <v>2.6019843312064092E-17</v>
      </c>
      <c r="Z190" s="139">
        <v>77</v>
      </c>
      <c r="AA190" s="139"/>
      <c r="AB190" s="26" t="s">
        <v>238</v>
      </c>
      <c r="AD190" s="5" t="s">
        <v>12</v>
      </c>
      <c r="AE190" s="5" t="s">
        <v>12</v>
      </c>
      <c r="AF190" s="5" t="s">
        <v>12</v>
      </c>
      <c r="AG190" s="5" t="s">
        <v>12</v>
      </c>
    </row>
    <row r="191" spans="1:33" ht="18" x14ac:dyDescent="0.35">
      <c r="A191" s="8">
        <v>188</v>
      </c>
      <c r="B191" s="150"/>
      <c r="C191" s="137"/>
      <c r="D191" s="137"/>
      <c r="E191" s="149"/>
      <c r="F191" s="1" t="s">
        <v>32</v>
      </c>
      <c r="G191" s="1" t="s">
        <v>1</v>
      </c>
      <c r="H191" s="1" t="s">
        <v>80</v>
      </c>
      <c r="I191" s="5" t="s">
        <v>12</v>
      </c>
      <c r="J191" s="5" t="s">
        <v>12</v>
      </c>
      <c r="K191" s="5" t="s">
        <v>12</v>
      </c>
      <c r="L191" s="4">
        <f>0.000000000000524*($B$1/298)^1.74*EXP(2410/(8.314*$B$1))</f>
        <v>2.2925389643485439E-12</v>
      </c>
      <c r="M191" s="139"/>
      <c r="N191" s="139"/>
      <c r="O191" s="8" t="s">
        <v>163</v>
      </c>
      <c r="P191" s="5" t="s">
        <v>12</v>
      </c>
      <c r="Q191" s="5" t="s">
        <v>12</v>
      </c>
      <c r="R191" s="5" t="s">
        <v>12</v>
      </c>
      <c r="S191" s="4">
        <f>0.00000000000309*($B$1/298)^1.2</f>
        <v>5.7244151721852377E-12</v>
      </c>
      <c r="T191" s="81">
        <v>77</v>
      </c>
      <c r="U191" s="55" t="s">
        <v>235</v>
      </c>
      <c r="V191" s="5" t="s">
        <v>12</v>
      </c>
      <c r="W191" s="5" t="s">
        <v>12</v>
      </c>
      <c r="X191" s="5" t="s">
        <v>12</v>
      </c>
      <c r="Y191" s="5" t="s">
        <v>12</v>
      </c>
      <c r="AD191" s="5" t="s">
        <v>12</v>
      </c>
      <c r="AE191" s="5" t="s">
        <v>12</v>
      </c>
      <c r="AF191" s="5" t="s">
        <v>12</v>
      </c>
      <c r="AG191" s="5" t="s">
        <v>12</v>
      </c>
    </row>
    <row r="192" spans="1:33" ht="18" customHeight="1" x14ac:dyDescent="0.25">
      <c r="A192" s="8">
        <v>189</v>
      </c>
      <c r="B192" s="150" t="s">
        <v>65</v>
      </c>
      <c r="C192" s="137" t="s">
        <v>1</v>
      </c>
      <c r="D192" s="137" t="s">
        <v>23</v>
      </c>
      <c r="E192" s="149" t="s">
        <v>0</v>
      </c>
      <c r="F192" s="1" t="s">
        <v>47</v>
      </c>
      <c r="G192" s="1" t="s">
        <v>1</v>
      </c>
      <c r="H192" s="1" t="s">
        <v>14</v>
      </c>
      <c r="I192" s="5" t="s">
        <v>12</v>
      </c>
      <c r="J192" s="5" t="s">
        <v>12</v>
      </c>
      <c r="K192" s="5" t="s">
        <v>12</v>
      </c>
      <c r="L192" s="4">
        <f>0.00000000000112*($B$1/298)^0.09*EXP(-44650/(8.314*$B$1))</f>
        <v>2.4392458814259283E-17</v>
      </c>
      <c r="M192" s="139" t="s">
        <v>519</v>
      </c>
      <c r="N192" s="139"/>
      <c r="O192" s="143" t="s">
        <v>333</v>
      </c>
      <c r="P192" s="5" t="s">
        <v>12</v>
      </c>
      <c r="Q192" s="5" t="s">
        <v>12</v>
      </c>
      <c r="R192" s="5" t="s">
        <v>12</v>
      </c>
      <c r="S192" s="5" t="s">
        <v>12</v>
      </c>
      <c r="V192" s="5" t="s">
        <v>12</v>
      </c>
      <c r="W192" s="5" t="s">
        <v>12</v>
      </c>
      <c r="X192" s="5" t="s">
        <v>12</v>
      </c>
      <c r="Y192" s="5" t="s">
        <v>12</v>
      </c>
      <c r="AD192" s="5" t="s">
        <v>12</v>
      </c>
      <c r="AE192" s="5" t="s">
        <v>12</v>
      </c>
      <c r="AF192" s="5" t="s">
        <v>12</v>
      </c>
      <c r="AG192" s="5" t="s">
        <v>12</v>
      </c>
    </row>
    <row r="193" spans="1:33" x14ac:dyDescent="0.25">
      <c r="A193" s="8">
        <v>190</v>
      </c>
      <c r="B193" s="150"/>
      <c r="C193" s="137"/>
      <c r="D193" s="137"/>
      <c r="E193" s="149"/>
      <c r="F193" s="1" t="s">
        <v>43</v>
      </c>
      <c r="G193" s="1" t="s">
        <v>1</v>
      </c>
      <c r="H193" s="1" t="s">
        <v>6</v>
      </c>
      <c r="I193" s="5" t="s">
        <v>12</v>
      </c>
      <c r="J193" s="5" t="s">
        <v>12</v>
      </c>
      <c r="K193" s="5" t="s">
        <v>12</v>
      </c>
      <c r="L193" s="4">
        <f>0.0000000000129*($B$1/298)^-1.38*EXP(-23730/(8.314*$B$1))</f>
        <v>2.0620477308172559E-14</v>
      </c>
      <c r="M193" s="139"/>
      <c r="N193" s="139"/>
      <c r="O193" s="143"/>
      <c r="P193" s="5" t="s">
        <v>12</v>
      </c>
      <c r="Q193" s="5" t="s">
        <v>12</v>
      </c>
      <c r="R193" s="5" t="s">
        <v>12</v>
      </c>
      <c r="S193" s="4">
        <f>0.0000000000000674*($B$1/298)^0.79*EXP(-5000/(8.314*$B$1))</f>
        <v>3.0243939412409258E-14</v>
      </c>
      <c r="T193" s="80">
        <v>103</v>
      </c>
      <c r="U193" s="55" t="s">
        <v>208</v>
      </c>
      <c r="V193" s="5" t="s">
        <v>12</v>
      </c>
      <c r="W193" s="5" t="s">
        <v>12</v>
      </c>
      <c r="X193" s="5" t="s">
        <v>12</v>
      </c>
      <c r="Y193" s="5" t="s">
        <v>12</v>
      </c>
      <c r="AD193" s="5" t="s">
        <v>12</v>
      </c>
      <c r="AE193" s="5" t="s">
        <v>12</v>
      </c>
      <c r="AF193" s="5" t="s">
        <v>12</v>
      </c>
      <c r="AG193" s="5" t="s">
        <v>12</v>
      </c>
    </row>
    <row r="194" spans="1:33" ht="17.25" x14ac:dyDescent="0.25">
      <c r="A194" s="8">
        <v>191</v>
      </c>
      <c r="B194" s="150"/>
      <c r="C194" s="137"/>
      <c r="D194" s="137"/>
      <c r="E194" s="149"/>
      <c r="F194" s="1" t="s">
        <v>105</v>
      </c>
      <c r="G194" s="1" t="s">
        <v>1</v>
      </c>
      <c r="H194" s="1" t="s">
        <v>14</v>
      </c>
      <c r="I194" s="5" t="s">
        <v>12</v>
      </c>
      <c r="J194" s="5" t="s">
        <v>12</v>
      </c>
      <c r="K194" s="5" t="s">
        <v>12</v>
      </c>
      <c r="L194" s="4">
        <f>0.00000000000501*($B$1/298)^0.07*EXP(-47200/(8.314*$B$1))</f>
        <v>5.8346761626003468E-17</v>
      </c>
      <c r="M194" s="139"/>
      <c r="N194" s="139"/>
      <c r="O194" s="143"/>
      <c r="P194" s="5" t="s">
        <v>12</v>
      </c>
      <c r="Q194" s="5" t="s">
        <v>12</v>
      </c>
      <c r="R194" s="5" t="s">
        <v>12</v>
      </c>
      <c r="S194" s="5" t="s">
        <v>12</v>
      </c>
      <c r="V194" s="5" t="s">
        <v>12</v>
      </c>
      <c r="W194" s="5" t="s">
        <v>12</v>
      </c>
      <c r="X194" s="5" t="s">
        <v>12</v>
      </c>
      <c r="Y194" s="5" t="s">
        <v>12</v>
      </c>
      <c r="AD194" s="5" t="s">
        <v>12</v>
      </c>
      <c r="AE194" s="5" t="s">
        <v>12</v>
      </c>
      <c r="AF194" s="5" t="s">
        <v>12</v>
      </c>
      <c r="AG194" s="5" t="s">
        <v>12</v>
      </c>
    </row>
    <row r="195" spans="1:33" x14ac:dyDescent="0.25">
      <c r="A195" s="8">
        <v>192</v>
      </c>
      <c r="B195" s="150"/>
      <c r="C195" s="137"/>
      <c r="D195" s="137"/>
      <c r="E195" s="149"/>
      <c r="F195" s="1" t="s">
        <v>106</v>
      </c>
      <c r="I195" s="5" t="s">
        <v>12</v>
      </c>
      <c r="J195" s="5" t="s">
        <v>12</v>
      </c>
      <c r="K195" s="5" t="s">
        <v>12</v>
      </c>
      <c r="L195" s="4">
        <f>0.000000000001*($B$1/298)^-0.18*EXP(-59030/(8.314*$B$1))</f>
        <v>5.8869042492646991E-19</v>
      </c>
      <c r="M195" s="139"/>
      <c r="N195" s="139"/>
      <c r="O195" s="143"/>
      <c r="P195" s="5" t="s">
        <v>12</v>
      </c>
      <c r="Q195" s="5" t="s">
        <v>12</v>
      </c>
      <c r="R195" s="5" t="s">
        <v>12</v>
      </c>
      <c r="S195" s="5" t="s">
        <v>12</v>
      </c>
      <c r="V195" s="5" t="s">
        <v>12</v>
      </c>
      <c r="W195" s="5" t="s">
        <v>12</v>
      </c>
      <c r="X195" s="5" t="s">
        <v>12</v>
      </c>
      <c r="Y195" s="5" t="s">
        <v>12</v>
      </c>
      <c r="AD195" s="5" t="s">
        <v>12</v>
      </c>
      <c r="AE195" s="5" t="s">
        <v>12</v>
      </c>
      <c r="AF195" s="5" t="s">
        <v>12</v>
      </c>
      <c r="AG195" s="5" t="s">
        <v>12</v>
      </c>
    </row>
    <row r="196" spans="1:33" ht="17.25" x14ac:dyDescent="0.25">
      <c r="A196" s="8">
        <v>193</v>
      </c>
      <c r="B196" s="150"/>
      <c r="C196" s="137"/>
      <c r="D196" s="137"/>
      <c r="E196" s="149"/>
      <c r="F196" s="1" t="s">
        <v>107</v>
      </c>
      <c r="I196" s="5" t="s">
        <v>12</v>
      </c>
      <c r="J196" s="5" t="s">
        <v>12</v>
      </c>
      <c r="K196" s="5" t="s">
        <v>12</v>
      </c>
      <c r="L196" s="4">
        <f>0.0000000000000105*($B$1/298)^-4.18*EXP(-4920/(8.314*$B$1))</f>
        <v>3.7370732306906291E-16</v>
      </c>
      <c r="M196" s="139"/>
      <c r="N196" s="139"/>
      <c r="O196" s="143"/>
      <c r="P196" s="5" t="s">
        <v>12</v>
      </c>
      <c r="Q196" s="5" t="s">
        <v>12</v>
      </c>
      <c r="R196" s="5" t="s">
        <v>12</v>
      </c>
      <c r="S196" s="5" t="s">
        <v>12</v>
      </c>
      <c r="V196" s="5" t="s">
        <v>12</v>
      </c>
      <c r="W196" s="5" t="s">
        <v>12</v>
      </c>
      <c r="X196" s="5" t="s">
        <v>12</v>
      </c>
      <c r="Y196" s="5" t="s">
        <v>12</v>
      </c>
      <c r="AD196" s="5" t="s">
        <v>12</v>
      </c>
      <c r="AE196" s="5" t="s">
        <v>12</v>
      </c>
      <c r="AF196" s="5" t="s">
        <v>12</v>
      </c>
      <c r="AG196" s="5" t="s">
        <v>12</v>
      </c>
    </row>
    <row r="197" spans="1:33" ht="17.25" x14ac:dyDescent="0.25">
      <c r="A197" s="8">
        <v>194</v>
      </c>
      <c r="B197" s="150"/>
      <c r="C197" s="137"/>
      <c r="D197" s="137"/>
      <c r="E197" s="149"/>
      <c r="F197" s="1" t="s">
        <v>108</v>
      </c>
      <c r="I197" s="5" t="s">
        <v>12</v>
      </c>
      <c r="J197" s="5" t="s">
        <v>12</v>
      </c>
      <c r="K197" s="5" t="s">
        <v>12</v>
      </c>
      <c r="L197" s="4">
        <f>0.00000000000000646*($B$1/298)^-4.05*EXP(-4420/(8.314*$B$1))</f>
        <v>2.7734098256766194E-16</v>
      </c>
      <c r="M197" s="139"/>
      <c r="N197" s="139"/>
      <c r="O197" s="143"/>
      <c r="P197" s="5" t="s">
        <v>12</v>
      </c>
      <c r="Q197" s="5" t="s">
        <v>12</v>
      </c>
      <c r="R197" s="5" t="s">
        <v>12</v>
      </c>
      <c r="S197" s="5" t="s">
        <v>12</v>
      </c>
      <c r="V197" s="5" t="s">
        <v>12</v>
      </c>
      <c r="W197" s="5" t="s">
        <v>12</v>
      </c>
      <c r="X197" s="5" t="s">
        <v>12</v>
      </c>
      <c r="Y197" s="5" t="s">
        <v>12</v>
      </c>
      <c r="AD197" s="5" t="s">
        <v>12</v>
      </c>
      <c r="AE197" s="5" t="s">
        <v>12</v>
      </c>
      <c r="AF197" s="5" t="s">
        <v>12</v>
      </c>
      <c r="AG197" s="5" t="s">
        <v>12</v>
      </c>
    </row>
    <row r="198" spans="1:33" ht="17.25" x14ac:dyDescent="0.25">
      <c r="A198" s="8">
        <v>195</v>
      </c>
      <c r="B198" s="150"/>
      <c r="C198" s="137"/>
      <c r="D198" s="137"/>
      <c r="E198" s="149"/>
      <c r="F198" s="1" t="s">
        <v>109</v>
      </c>
      <c r="I198" s="5" t="s">
        <v>12</v>
      </c>
      <c r="J198" s="5" t="s">
        <v>12</v>
      </c>
      <c r="K198" s="5" t="s">
        <v>12</v>
      </c>
      <c r="L198" s="4">
        <f>0.0000000000000000589*($B$1/298)^-2.63*EXP(-26330/(8.314*$B$1))</f>
        <v>2.6439653465051515E-20</v>
      </c>
      <c r="M198" s="139"/>
      <c r="N198" s="139"/>
      <c r="O198" s="143"/>
      <c r="P198" s="5" t="s">
        <v>12</v>
      </c>
      <c r="Q198" s="5" t="s">
        <v>12</v>
      </c>
      <c r="R198" s="5" t="s">
        <v>12</v>
      </c>
      <c r="S198" s="5" t="s">
        <v>12</v>
      </c>
      <c r="V198" s="5" t="s">
        <v>12</v>
      </c>
      <c r="W198" s="5" t="s">
        <v>12</v>
      </c>
      <c r="X198" s="5" t="s">
        <v>12</v>
      </c>
      <c r="Y198" s="5" t="s">
        <v>12</v>
      </c>
      <c r="AD198" s="5" t="s">
        <v>12</v>
      </c>
      <c r="AE198" s="5" t="s">
        <v>12</v>
      </c>
      <c r="AF198" s="5" t="s">
        <v>12</v>
      </c>
      <c r="AG198" s="5" t="s">
        <v>12</v>
      </c>
    </row>
    <row r="199" spans="1:33" ht="17.25" x14ac:dyDescent="0.25">
      <c r="A199" s="8">
        <v>196</v>
      </c>
      <c r="B199" s="150"/>
      <c r="C199" s="137"/>
      <c r="D199" s="137"/>
      <c r="E199" s="149"/>
      <c r="F199" s="1" t="s">
        <v>110</v>
      </c>
      <c r="I199" s="5" t="s">
        <v>12</v>
      </c>
      <c r="J199" s="5" t="s">
        <v>12</v>
      </c>
      <c r="K199" s="5" t="s">
        <v>12</v>
      </c>
      <c r="L199" s="4">
        <f>0.0000000000000000275*($B$1/298)^-2.48*EXP(-24650/(8.314*$B$1))</f>
        <v>2.000374380893465E-20</v>
      </c>
      <c r="M199" s="139"/>
      <c r="N199" s="139"/>
      <c r="O199" s="143"/>
      <c r="P199" s="5" t="s">
        <v>12</v>
      </c>
      <c r="Q199" s="5" t="s">
        <v>12</v>
      </c>
      <c r="R199" s="5" t="s">
        <v>12</v>
      </c>
      <c r="S199" s="5" t="s">
        <v>12</v>
      </c>
      <c r="V199" s="5" t="s">
        <v>12</v>
      </c>
      <c r="W199" s="5" t="s">
        <v>12</v>
      </c>
      <c r="X199" s="5" t="s">
        <v>12</v>
      </c>
      <c r="Y199" s="5" t="s">
        <v>12</v>
      </c>
      <c r="AD199" s="5" t="s">
        <v>12</v>
      </c>
      <c r="AE199" s="5" t="s">
        <v>12</v>
      </c>
      <c r="AF199" s="5" t="s">
        <v>12</v>
      </c>
      <c r="AG199" s="5" t="s">
        <v>12</v>
      </c>
    </row>
    <row r="200" spans="1:33" x14ac:dyDescent="0.25">
      <c r="A200" s="8">
        <v>197</v>
      </c>
      <c r="B200" s="150" t="s">
        <v>65</v>
      </c>
      <c r="C200" s="137" t="s">
        <v>1</v>
      </c>
      <c r="D200" s="137" t="s">
        <v>14</v>
      </c>
      <c r="E200" s="149" t="s">
        <v>0</v>
      </c>
      <c r="F200" s="1" t="s">
        <v>43</v>
      </c>
      <c r="G200" s="1" t="s">
        <v>1</v>
      </c>
      <c r="H200" s="1" t="s">
        <v>29</v>
      </c>
      <c r="I200" s="5" t="s">
        <v>12</v>
      </c>
      <c r="J200" s="5" t="s">
        <v>12</v>
      </c>
      <c r="K200" s="5" t="s">
        <v>12</v>
      </c>
      <c r="L200" s="4">
        <v>1.16E-10</v>
      </c>
      <c r="M200" s="139">
        <v>77</v>
      </c>
      <c r="N200" s="139"/>
      <c r="O200" s="143" t="s">
        <v>334</v>
      </c>
      <c r="P200" s="5" t="s">
        <v>12</v>
      </c>
      <c r="Q200" s="5" t="s">
        <v>12</v>
      </c>
      <c r="R200" s="5" t="s">
        <v>12</v>
      </c>
      <c r="S200" s="5" t="s">
        <v>12</v>
      </c>
      <c r="V200" s="5" t="s">
        <v>12</v>
      </c>
      <c r="W200" s="5" t="s">
        <v>12</v>
      </c>
      <c r="X200" s="5" t="s">
        <v>12</v>
      </c>
      <c r="Y200" s="5" t="s">
        <v>12</v>
      </c>
      <c r="AD200" s="5" t="s">
        <v>12</v>
      </c>
      <c r="AE200" s="5" t="s">
        <v>12</v>
      </c>
      <c r="AF200" s="5" t="s">
        <v>12</v>
      </c>
      <c r="AG200" s="5" t="s">
        <v>12</v>
      </c>
    </row>
    <row r="201" spans="1:33" x14ac:dyDescent="0.25">
      <c r="A201" s="8">
        <v>198</v>
      </c>
      <c r="B201" s="150"/>
      <c r="C201" s="137"/>
      <c r="D201" s="137"/>
      <c r="E201" s="149"/>
      <c r="F201" s="1" t="s">
        <v>6</v>
      </c>
      <c r="G201" s="1" t="s">
        <v>1</v>
      </c>
      <c r="H201" s="1" t="s">
        <v>80</v>
      </c>
      <c r="I201" s="5" t="s">
        <v>12</v>
      </c>
      <c r="J201" s="5" t="s">
        <v>12</v>
      </c>
      <c r="K201" s="5" t="s">
        <v>12</v>
      </c>
      <c r="L201" s="4">
        <v>1.1600000000000001E-11</v>
      </c>
      <c r="M201" s="139"/>
      <c r="N201" s="139"/>
      <c r="O201" s="143"/>
      <c r="P201" s="5" t="s">
        <v>12</v>
      </c>
      <c r="Q201" s="5" t="s">
        <v>12</v>
      </c>
      <c r="R201" s="5" t="s">
        <v>12</v>
      </c>
      <c r="S201" s="5" t="s">
        <v>12</v>
      </c>
      <c r="V201" s="5" t="s">
        <v>12</v>
      </c>
      <c r="W201" s="5" t="s">
        <v>12</v>
      </c>
      <c r="X201" s="5" t="s">
        <v>12</v>
      </c>
      <c r="Y201" s="5" t="s">
        <v>12</v>
      </c>
      <c r="AD201" s="5" t="s">
        <v>12</v>
      </c>
      <c r="AE201" s="5" t="s">
        <v>12</v>
      </c>
      <c r="AF201" s="5" t="s">
        <v>12</v>
      </c>
      <c r="AG201" s="5" t="s">
        <v>12</v>
      </c>
    </row>
    <row r="202" spans="1:33" ht="18" x14ac:dyDescent="0.35">
      <c r="A202" s="8">
        <v>199</v>
      </c>
      <c r="B202" s="150" t="s">
        <v>65</v>
      </c>
      <c r="C202" s="137" t="s">
        <v>1</v>
      </c>
      <c r="D202" s="137" t="s">
        <v>29</v>
      </c>
      <c r="E202" s="149" t="s">
        <v>0</v>
      </c>
      <c r="F202" s="1" t="s">
        <v>80</v>
      </c>
      <c r="G202" s="1" t="s">
        <v>1</v>
      </c>
      <c r="H202" s="1" t="s">
        <v>31</v>
      </c>
      <c r="I202" s="5" t="s">
        <v>12</v>
      </c>
      <c r="J202" s="5" t="s">
        <v>12</v>
      </c>
      <c r="K202" s="5" t="s">
        <v>12</v>
      </c>
      <c r="L202" s="4">
        <v>1.6900000000000001E-11</v>
      </c>
      <c r="M202" s="139">
        <v>79</v>
      </c>
      <c r="N202" s="139"/>
      <c r="O202" s="8" t="s">
        <v>335</v>
      </c>
      <c r="P202" s="5" t="s">
        <v>12</v>
      </c>
      <c r="Q202" s="5" t="s">
        <v>12</v>
      </c>
      <c r="R202" s="5" t="s">
        <v>12</v>
      </c>
      <c r="S202" s="5" t="s">
        <v>12</v>
      </c>
      <c r="V202" s="5" t="s">
        <v>12</v>
      </c>
      <c r="W202" s="5" t="s">
        <v>12</v>
      </c>
      <c r="X202" s="5" t="s">
        <v>12</v>
      </c>
      <c r="Y202" s="5" t="s">
        <v>12</v>
      </c>
      <c r="AD202" s="5" t="s">
        <v>12</v>
      </c>
      <c r="AE202" s="5" t="s">
        <v>12</v>
      </c>
      <c r="AF202" s="5" t="s">
        <v>12</v>
      </c>
      <c r="AG202" s="5" t="s">
        <v>12</v>
      </c>
    </row>
    <row r="203" spans="1:33" ht="18.75" x14ac:dyDescent="0.35">
      <c r="A203" s="8">
        <v>200</v>
      </c>
      <c r="B203" s="150"/>
      <c r="C203" s="137"/>
      <c r="D203" s="137"/>
      <c r="E203" s="149"/>
      <c r="F203" s="1" t="s">
        <v>103</v>
      </c>
      <c r="G203" s="1" t="s">
        <v>1</v>
      </c>
      <c r="H203" s="1" t="s">
        <v>31</v>
      </c>
      <c r="I203" s="5" t="s">
        <v>12</v>
      </c>
      <c r="J203" s="5" t="s">
        <v>12</v>
      </c>
      <c r="K203" s="5" t="s">
        <v>12</v>
      </c>
      <c r="L203" s="4">
        <f>0.00000000000214*($B$1/298)^1.55*EXP(858/(8.314*$B$1))</f>
        <v>5.83791199994655E-12</v>
      </c>
      <c r="M203" s="139">
        <v>104</v>
      </c>
      <c r="N203" s="139"/>
      <c r="O203" s="8" t="s">
        <v>209</v>
      </c>
      <c r="P203" s="5" t="s">
        <v>12</v>
      </c>
      <c r="Q203" s="5" t="s">
        <v>12</v>
      </c>
      <c r="R203" s="5" t="s">
        <v>12</v>
      </c>
      <c r="S203" s="4">
        <f>0.00000000000214*($B$1/298)^1.55*EXP(-860/(8.314*$B$1))</f>
        <v>3.8557270229473114E-12</v>
      </c>
      <c r="T203" s="80">
        <v>104</v>
      </c>
      <c r="U203" s="55" t="s">
        <v>209</v>
      </c>
      <c r="V203" s="5" t="s">
        <v>12</v>
      </c>
      <c r="W203" s="5" t="s">
        <v>12</v>
      </c>
      <c r="X203" s="5" t="s">
        <v>12</v>
      </c>
      <c r="Y203" s="5" t="s">
        <v>12</v>
      </c>
      <c r="AD203" s="5" t="s">
        <v>12</v>
      </c>
      <c r="AE203" s="5" t="s">
        <v>12</v>
      </c>
      <c r="AF203" s="5" t="s">
        <v>12</v>
      </c>
      <c r="AG203" s="5" t="s">
        <v>12</v>
      </c>
    </row>
    <row r="204" spans="1:33" ht="18" x14ac:dyDescent="0.35">
      <c r="A204" s="8">
        <v>201</v>
      </c>
      <c r="B204" s="1" t="s">
        <v>104</v>
      </c>
      <c r="C204" s="1" t="s">
        <v>1</v>
      </c>
      <c r="D204" s="1" t="s">
        <v>23</v>
      </c>
      <c r="E204" s="2" t="s">
        <v>0</v>
      </c>
      <c r="F204" s="1" t="s">
        <v>76</v>
      </c>
      <c r="G204" s="1" t="s">
        <v>1</v>
      </c>
      <c r="H204" s="1" t="s">
        <v>6</v>
      </c>
      <c r="I204" s="5" t="s">
        <v>12</v>
      </c>
      <c r="J204" s="5" t="s">
        <v>12</v>
      </c>
      <c r="K204" s="5" t="s">
        <v>12</v>
      </c>
      <c r="L204" s="4">
        <f>0.0000000000000694*($B$1/298)^-0.34*EXP(-624/(8.314*$B$1))</f>
        <v>5.0125332460451305E-14</v>
      </c>
      <c r="M204" s="139">
        <v>105</v>
      </c>
      <c r="N204" s="139"/>
      <c r="O204" s="8" t="s">
        <v>524</v>
      </c>
      <c r="P204" s="5" t="s">
        <v>12</v>
      </c>
      <c r="Q204" s="5" t="s">
        <v>12</v>
      </c>
      <c r="R204" s="5" t="s">
        <v>12</v>
      </c>
      <c r="S204" s="5" t="s">
        <v>12</v>
      </c>
      <c r="V204" s="5" t="s">
        <v>12</v>
      </c>
      <c r="W204" s="5" t="s">
        <v>12</v>
      </c>
      <c r="X204" s="5" t="s">
        <v>12</v>
      </c>
      <c r="Y204" s="5" t="s">
        <v>12</v>
      </c>
      <c r="AD204" s="5" t="s">
        <v>12</v>
      </c>
      <c r="AE204" s="5" t="s">
        <v>12</v>
      </c>
      <c r="AF204" s="5" t="s">
        <v>12</v>
      </c>
      <c r="AG204" s="5" t="s">
        <v>12</v>
      </c>
    </row>
    <row r="205" spans="1:33" ht="18" x14ac:dyDescent="0.35">
      <c r="A205" s="8">
        <v>202</v>
      </c>
      <c r="B205" s="1" t="s">
        <v>76</v>
      </c>
      <c r="E205" s="2" t="s">
        <v>0</v>
      </c>
      <c r="F205" s="1" t="s">
        <v>77</v>
      </c>
      <c r="G205" s="1" t="s">
        <v>1</v>
      </c>
      <c r="H205" s="1" t="s">
        <v>14</v>
      </c>
      <c r="I205" s="5" t="s">
        <v>12</v>
      </c>
      <c r="J205" s="5" t="s">
        <v>12</v>
      </c>
      <c r="K205" s="5" t="s">
        <v>12</v>
      </c>
      <c r="L205" s="4">
        <f>0.000000044*($B$1/298)^-0.67*EXP(-260000/(8.314*$B$1))</f>
        <v>1.6985414411199514E-35</v>
      </c>
      <c r="M205" s="139">
        <v>106</v>
      </c>
      <c r="N205" s="139"/>
      <c r="O205" s="8" t="s">
        <v>337</v>
      </c>
      <c r="P205" s="5" t="s">
        <v>12</v>
      </c>
      <c r="Q205" s="5" t="s">
        <v>12</v>
      </c>
      <c r="R205" s="5" t="s">
        <v>12</v>
      </c>
      <c r="S205" s="5" t="s">
        <v>12</v>
      </c>
      <c r="V205" s="5" t="s">
        <v>12</v>
      </c>
      <c r="W205" s="5" t="s">
        <v>12</v>
      </c>
      <c r="X205" s="5" t="s">
        <v>12</v>
      </c>
      <c r="Y205" s="5" t="s">
        <v>12</v>
      </c>
      <c r="AD205" s="5" t="s">
        <v>12</v>
      </c>
      <c r="AE205" s="5" t="s">
        <v>12</v>
      </c>
      <c r="AF205" s="5" t="s">
        <v>12</v>
      </c>
      <c r="AG205" s="5" t="s">
        <v>12</v>
      </c>
    </row>
    <row r="206" spans="1:33" ht="18" x14ac:dyDescent="0.35">
      <c r="A206" s="8">
        <v>203</v>
      </c>
      <c r="B206" s="1" t="s">
        <v>76</v>
      </c>
      <c r="C206" s="1" t="s">
        <v>1</v>
      </c>
      <c r="D206" s="1" t="s">
        <v>43</v>
      </c>
      <c r="E206" s="2" t="s">
        <v>0</v>
      </c>
      <c r="F206" s="1" t="s">
        <v>44</v>
      </c>
      <c r="G206" s="1" t="s">
        <v>1</v>
      </c>
      <c r="H206" s="1" t="s">
        <v>77</v>
      </c>
      <c r="I206" s="5" t="s">
        <v>12</v>
      </c>
      <c r="J206" s="5" t="s">
        <v>12</v>
      </c>
      <c r="K206" s="5" t="s">
        <v>12</v>
      </c>
      <c r="L206" s="4">
        <f>0.000000000000278*($B$1/298)^2.23*EXP(-194000/(8.314*$B$1))</f>
        <v>3.9683874211344992E-33</v>
      </c>
      <c r="M206" s="139">
        <v>107</v>
      </c>
      <c r="N206" s="139"/>
      <c r="O206" s="8" t="s">
        <v>182</v>
      </c>
      <c r="P206" s="5" t="s">
        <v>12</v>
      </c>
      <c r="Q206" s="5" t="s">
        <v>12</v>
      </c>
      <c r="R206" s="5" t="s">
        <v>12</v>
      </c>
      <c r="S206" s="4">
        <f>0.000000000501*($B$1/298)*EXP(-208000/(8.314*$B$1))</f>
        <v>1.2938546402602658E-31</v>
      </c>
      <c r="T206" s="80">
        <v>108</v>
      </c>
      <c r="U206" s="55" t="s">
        <v>527</v>
      </c>
      <c r="V206" s="5" t="s">
        <v>12</v>
      </c>
      <c r="W206" s="5" t="s">
        <v>12</v>
      </c>
      <c r="X206" s="5" t="s">
        <v>12</v>
      </c>
      <c r="Y206" s="5" t="s">
        <v>12</v>
      </c>
      <c r="AD206" s="5" t="s">
        <v>12</v>
      </c>
      <c r="AE206" s="5" t="s">
        <v>12</v>
      </c>
      <c r="AF206" s="5" t="s">
        <v>12</v>
      </c>
      <c r="AG206" s="5" t="s">
        <v>12</v>
      </c>
    </row>
    <row r="207" spans="1:33" ht="18" customHeight="1" x14ac:dyDescent="0.25">
      <c r="A207" s="8">
        <v>204</v>
      </c>
      <c r="B207" s="150" t="s">
        <v>76</v>
      </c>
      <c r="C207" s="137" t="s">
        <v>1</v>
      </c>
      <c r="D207" s="137" t="s">
        <v>6</v>
      </c>
      <c r="E207" s="149" t="s">
        <v>0</v>
      </c>
      <c r="F207" s="1" t="s">
        <v>47</v>
      </c>
      <c r="G207" s="1" t="s">
        <v>1</v>
      </c>
      <c r="H207" s="1" t="s">
        <v>43</v>
      </c>
      <c r="I207" s="5" t="s">
        <v>12</v>
      </c>
      <c r="J207" s="5" t="s">
        <v>12</v>
      </c>
      <c r="K207" s="5" t="s">
        <v>12</v>
      </c>
      <c r="L207" s="4">
        <f>0.0000000000000000101*($B$1/298)^4.33*EXP(-105000/(8.314*$B$1))</f>
        <v>9.122738791653044E-28</v>
      </c>
      <c r="M207" s="139"/>
      <c r="N207" s="139"/>
      <c r="O207" s="143" t="s">
        <v>338</v>
      </c>
      <c r="P207" s="5" t="s">
        <v>12</v>
      </c>
      <c r="Q207" s="5" t="s">
        <v>12</v>
      </c>
      <c r="R207" s="5" t="s">
        <v>12</v>
      </c>
      <c r="S207" s="5" t="s">
        <v>12</v>
      </c>
      <c r="V207" s="5" t="s">
        <v>12</v>
      </c>
      <c r="W207" s="5" t="s">
        <v>12</v>
      </c>
      <c r="X207" s="5" t="s">
        <v>12</v>
      </c>
      <c r="Y207" s="5" t="s">
        <v>12</v>
      </c>
      <c r="AD207" s="5" t="s">
        <v>12</v>
      </c>
      <c r="AE207" s="5" t="s">
        <v>12</v>
      </c>
      <c r="AF207" s="5" t="s">
        <v>12</v>
      </c>
      <c r="AG207" s="5" t="s">
        <v>12</v>
      </c>
    </row>
    <row r="208" spans="1:33" ht="18" x14ac:dyDescent="0.35">
      <c r="A208" s="8">
        <v>205</v>
      </c>
      <c r="B208" s="150"/>
      <c r="C208" s="137"/>
      <c r="D208" s="137"/>
      <c r="E208" s="149"/>
      <c r="F208" s="1" t="s">
        <v>77</v>
      </c>
      <c r="G208" s="1" t="s">
        <v>1</v>
      </c>
      <c r="H208" s="1" t="s">
        <v>7</v>
      </c>
      <c r="I208" s="5" t="s">
        <v>12</v>
      </c>
      <c r="J208" s="5" t="s">
        <v>12</v>
      </c>
      <c r="K208" s="5" t="s">
        <v>12</v>
      </c>
      <c r="L208" s="4">
        <f>0.0000000000000103*($B$1/298)^4.72*EXP(-153000/(8.314*$B$1))</f>
        <v>1.0527792808064169E-29</v>
      </c>
      <c r="M208" s="139"/>
      <c r="N208" s="139"/>
      <c r="O208" s="143"/>
      <c r="P208" s="5" t="s">
        <v>12</v>
      </c>
      <c r="Q208" s="5" t="s">
        <v>12</v>
      </c>
      <c r="R208" s="5" t="s">
        <v>12</v>
      </c>
      <c r="S208" s="4">
        <f>0.000000000014*($B$1/298)*EXP(-41570/(8.314*$B$1))</f>
        <v>1.0237608456512239E-15</v>
      </c>
      <c r="T208" s="80">
        <v>106</v>
      </c>
      <c r="U208" s="55" t="s">
        <v>239</v>
      </c>
      <c r="V208" s="5" t="s">
        <v>12</v>
      </c>
      <c r="W208" s="5" t="s">
        <v>12</v>
      </c>
      <c r="X208" s="5" t="s">
        <v>12</v>
      </c>
      <c r="Y208" s="4">
        <f>0.000000000000287*($B$1/298)^-0.34*EXP(-624/(8.314*$B$1))</f>
        <v>2.0729064000215452E-13</v>
      </c>
      <c r="Z208" s="139">
        <v>105</v>
      </c>
      <c r="AA208" s="139"/>
      <c r="AD208" s="5" t="s">
        <v>12</v>
      </c>
      <c r="AE208" s="5" t="s">
        <v>12</v>
      </c>
      <c r="AF208" s="5" t="s">
        <v>12</v>
      </c>
      <c r="AG208" s="5" t="s">
        <v>12</v>
      </c>
    </row>
    <row r="209" spans="1:34" ht="18" customHeight="1" x14ac:dyDescent="0.25">
      <c r="A209" s="8">
        <v>206</v>
      </c>
      <c r="B209" s="150" t="s">
        <v>76</v>
      </c>
      <c r="C209" s="137" t="s">
        <v>1</v>
      </c>
      <c r="D209" s="137" t="s">
        <v>14</v>
      </c>
      <c r="E209" s="149" t="s">
        <v>0</v>
      </c>
      <c r="F209" s="1" t="s">
        <v>43</v>
      </c>
      <c r="G209" s="1" t="s">
        <v>1</v>
      </c>
      <c r="H209" s="1" t="s">
        <v>43</v>
      </c>
      <c r="I209" s="5" t="s">
        <v>12</v>
      </c>
      <c r="J209" s="5" t="s">
        <v>12</v>
      </c>
      <c r="K209" s="5" t="s">
        <v>12</v>
      </c>
      <c r="L209" s="4">
        <f>0.000000000152*($B$1/298)*EXP(-116000/(8.314*$B$1))</f>
        <v>1.7422358113553416E-22</v>
      </c>
      <c r="M209" s="139">
        <v>109</v>
      </c>
      <c r="N209" s="139"/>
      <c r="O209" s="8" t="s">
        <v>339</v>
      </c>
      <c r="P209" s="5" t="s">
        <v>12</v>
      </c>
      <c r="Q209" s="5" t="s">
        <v>12</v>
      </c>
      <c r="R209" s="5" t="s">
        <v>12</v>
      </c>
      <c r="S209" s="5" t="s">
        <v>12</v>
      </c>
      <c r="V209" s="5" t="s">
        <v>12</v>
      </c>
      <c r="W209" s="5" t="s">
        <v>12</v>
      </c>
      <c r="X209" s="5" t="s">
        <v>12</v>
      </c>
      <c r="Y209" s="4">
        <f>0.00000000000599*($B$1/298)*EXP(-274000/(8.314*$B$1))</f>
        <v>1.8562907957494772E-40</v>
      </c>
      <c r="Z209" s="146">
        <v>106</v>
      </c>
      <c r="AA209" s="146"/>
      <c r="AB209" s="26" t="s">
        <v>240</v>
      </c>
      <c r="AD209" s="5" t="s">
        <v>12</v>
      </c>
      <c r="AE209" s="5" t="s">
        <v>12</v>
      </c>
      <c r="AF209" s="5" t="s">
        <v>12</v>
      </c>
      <c r="AG209" s="5" t="s">
        <v>12</v>
      </c>
    </row>
    <row r="210" spans="1:34" ht="18" x14ac:dyDescent="0.35">
      <c r="A210" s="8">
        <v>207</v>
      </c>
      <c r="B210" s="150"/>
      <c r="C210" s="137"/>
      <c r="D210" s="137"/>
      <c r="E210" s="149"/>
      <c r="F210" s="1" t="s">
        <v>77</v>
      </c>
      <c r="G210" s="1" t="s">
        <v>1</v>
      </c>
      <c r="H210" s="1" t="s">
        <v>23</v>
      </c>
      <c r="I210" s="5" t="s">
        <v>12</v>
      </c>
      <c r="J210" s="5" t="s">
        <v>12</v>
      </c>
      <c r="K210" s="5" t="s">
        <v>12</v>
      </c>
      <c r="L210" s="4">
        <f>0.00000000000613*($B$1/298)*EXP(-66680/(8.314*$B$1))</f>
        <v>1.0434466897306294E-18</v>
      </c>
      <c r="M210" s="139"/>
      <c r="N210" s="139"/>
      <c r="O210" s="8" t="s">
        <v>340</v>
      </c>
      <c r="P210" s="5" t="s">
        <v>12</v>
      </c>
      <c r="Q210" s="5" t="s">
        <v>12</v>
      </c>
      <c r="R210" s="5" t="s">
        <v>12</v>
      </c>
      <c r="S210" s="5" t="s">
        <v>12</v>
      </c>
      <c r="V210" s="5" t="s">
        <v>12</v>
      </c>
      <c r="W210" s="5" t="s">
        <v>12</v>
      </c>
      <c r="X210" s="5" t="s">
        <v>12</v>
      </c>
      <c r="Y210" s="5" t="s">
        <v>12</v>
      </c>
      <c r="AD210" s="5" t="s">
        <v>12</v>
      </c>
      <c r="AE210" s="5" t="s">
        <v>12</v>
      </c>
      <c r="AF210" s="5" t="s">
        <v>12</v>
      </c>
      <c r="AG210" s="5" t="s">
        <v>12</v>
      </c>
    </row>
    <row r="211" spans="1:34" ht="18.75" customHeight="1" x14ac:dyDescent="0.25">
      <c r="A211" s="8">
        <v>208</v>
      </c>
      <c r="B211" s="150" t="s">
        <v>76</v>
      </c>
      <c r="C211" s="137" t="s">
        <v>1</v>
      </c>
      <c r="D211" s="137" t="s">
        <v>126</v>
      </c>
      <c r="E211" s="149" t="s">
        <v>0</v>
      </c>
      <c r="F211" s="1" t="s">
        <v>43</v>
      </c>
      <c r="G211" s="1" t="s">
        <v>1</v>
      </c>
      <c r="H211" s="1" t="s">
        <v>43</v>
      </c>
      <c r="I211" s="5" t="s">
        <v>12</v>
      </c>
      <c r="J211" s="5" t="s">
        <v>12</v>
      </c>
      <c r="K211" s="5" t="s">
        <v>12</v>
      </c>
      <c r="L211" s="4">
        <f>0.0000000000502*($B$1/298)^1.12*EXP(870/(8.314*$B$1))</f>
        <v>1.1011689478443554E-10</v>
      </c>
      <c r="M211" s="139" t="s">
        <v>531</v>
      </c>
      <c r="N211" s="139"/>
      <c r="O211" s="8" t="s">
        <v>341</v>
      </c>
      <c r="P211" s="5" t="s">
        <v>12</v>
      </c>
      <c r="Q211" s="5" t="s">
        <v>12</v>
      </c>
      <c r="R211" s="5" t="s">
        <v>12</v>
      </c>
      <c r="S211" s="4">
        <f>0.0000000000721</f>
        <v>7.2100000000000002E-11</v>
      </c>
      <c r="T211" s="139">
        <v>111</v>
      </c>
      <c r="U211" s="162" t="s">
        <v>241</v>
      </c>
      <c r="V211" s="5" t="s">
        <v>12</v>
      </c>
      <c r="W211" s="5" t="s">
        <v>12</v>
      </c>
      <c r="X211" s="5" t="s">
        <v>12</v>
      </c>
      <c r="Y211" s="5" t="s">
        <v>12</v>
      </c>
      <c r="AD211" s="5" t="s">
        <v>12</v>
      </c>
      <c r="AE211" s="5" t="s">
        <v>12</v>
      </c>
      <c r="AF211" s="5" t="s">
        <v>12</v>
      </c>
      <c r="AG211" s="5" t="s">
        <v>12</v>
      </c>
    </row>
    <row r="212" spans="1:34" ht="18" x14ac:dyDescent="0.35">
      <c r="A212" s="8">
        <v>209</v>
      </c>
      <c r="B212" s="150"/>
      <c r="C212" s="137"/>
      <c r="D212" s="137"/>
      <c r="E212" s="149"/>
      <c r="F212" s="1" t="s">
        <v>77</v>
      </c>
      <c r="G212" s="1" t="s">
        <v>1</v>
      </c>
      <c r="H212" s="1" t="s">
        <v>23</v>
      </c>
      <c r="I212" s="5" t="s">
        <v>12</v>
      </c>
      <c r="J212" s="5" t="s">
        <v>12</v>
      </c>
      <c r="K212" s="5" t="s">
        <v>12</v>
      </c>
      <c r="L212" s="4">
        <v>6.7900000000000006E-11</v>
      </c>
      <c r="M212" s="139">
        <v>112</v>
      </c>
      <c r="N212" s="139"/>
      <c r="O212" s="31" t="s">
        <v>342</v>
      </c>
      <c r="P212" s="5" t="s">
        <v>12</v>
      </c>
      <c r="Q212" s="5" t="s">
        <v>12</v>
      </c>
      <c r="R212" s="5" t="s">
        <v>12</v>
      </c>
      <c r="S212" s="4">
        <v>4.4000000000000003E-11</v>
      </c>
      <c r="T212" s="139"/>
      <c r="U212" s="162"/>
      <c r="V212" s="5" t="s">
        <v>12</v>
      </c>
      <c r="W212" s="5" t="s">
        <v>12</v>
      </c>
      <c r="X212" s="5" t="s">
        <v>12</v>
      </c>
      <c r="Y212" s="5" t="s">
        <v>12</v>
      </c>
      <c r="AD212" s="5" t="s">
        <v>12</v>
      </c>
      <c r="AE212" s="5" t="s">
        <v>12</v>
      </c>
      <c r="AF212" s="5" t="s">
        <v>12</v>
      </c>
      <c r="AG212" s="5" t="s">
        <v>12</v>
      </c>
    </row>
    <row r="213" spans="1:34" ht="18.75" x14ac:dyDescent="0.35">
      <c r="A213" s="8">
        <v>210</v>
      </c>
      <c r="B213" s="150"/>
      <c r="C213" s="137"/>
      <c r="D213" s="137"/>
      <c r="E213" s="149"/>
      <c r="F213" s="1" t="s">
        <v>77</v>
      </c>
      <c r="G213" s="1" t="s">
        <v>1</v>
      </c>
      <c r="H213" s="1" t="s">
        <v>84</v>
      </c>
      <c r="I213" s="5" t="s">
        <v>12</v>
      </c>
      <c r="J213" s="5" t="s">
        <v>12</v>
      </c>
      <c r="K213" s="5" t="s">
        <v>12</v>
      </c>
      <c r="L213" s="4">
        <f>0.00000000000243*($B$1/298)^2.3*EXP(-9640/(8.314*$B$1))</f>
        <v>7.7263923866950292E-13</v>
      </c>
      <c r="M213" s="139" t="s">
        <v>531</v>
      </c>
      <c r="N213" s="139"/>
      <c r="O213" s="8" t="s">
        <v>341</v>
      </c>
      <c r="P213" s="5" t="s">
        <v>12</v>
      </c>
      <c r="Q213" s="5" t="s">
        <v>12</v>
      </c>
      <c r="R213" s="5" t="s">
        <v>12</v>
      </c>
      <c r="S213" s="4">
        <f>0.0000000000422*($B$1/298)*EXP(70/(8.314*$B$1))</f>
        <v>7.1745818456643455E-11</v>
      </c>
      <c r="T213" s="80">
        <v>113</v>
      </c>
      <c r="U213" s="55" t="s">
        <v>210</v>
      </c>
      <c r="V213" s="5" t="s">
        <v>12</v>
      </c>
      <c r="W213" s="5" t="s">
        <v>12</v>
      </c>
      <c r="X213" s="5" t="s">
        <v>12</v>
      </c>
      <c r="Y213" s="5" t="s">
        <v>12</v>
      </c>
      <c r="AD213" s="5" t="s">
        <v>12</v>
      </c>
      <c r="AE213" s="5" t="s">
        <v>12</v>
      </c>
      <c r="AF213" s="5" t="s">
        <v>12</v>
      </c>
      <c r="AG213" s="5" t="s">
        <v>12</v>
      </c>
    </row>
    <row r="214" spans="1:34" ht="18" customHeight="1" x14ac:dyDescent="0.25">
      <c r="A214" s="8">
        <v>211</v>
      </c>
      <c r="B214" s="150" t="s">
        <v>76</v>
      </c>
      <c r="C214" s="137" t="s">
        <v>1</v>
      </c>
      <c r="D214" s="137" t="s">
        <v>29</v>
      </c>
      <c r="E214" s="149" t="s">
        <v>0</v>
      </c>
      <c r="F214" s="1" t="s">
        <v>125</v>
      </c>
      <c r="G214" s="1"/>
      <c r="H214" s="1"/>
      <c r="I214" s="5" t="s">
        <v>12</v>
      </c>
      <c r="J214" s="5" t="s">
        <v>12</v>
      </c>
      <c r="K214" s="5" t="s">
        <v>12</v>
      </c>
      <c r="L214" s="4">
        <f>0.000000000183*($B$1/298)^-4.39*EXP(-44100/(8.314*$B$1))</f>
        <v>4.5548877493274513E-16</v>
      </c>
      <c r="M214" s="139" t="s">
        <v>516</v>
      </c>
      <c r="N214" s="139"/>
      <c r="O214" s="8" t="s">
        <v>514</v>
      </c>
      <c r="P214" s="5" t="s">
        <v>12</v>
      </c>
      <c r="Q214" s="5" t="s">
        <v>12</v>
      </c>
      <c r="R214" s="5" t="s">
        <v>12</v>
      </c>
      <c r="S214" s="4">
        <f>0.00000000000000188*($B$1/298)^4.39*EXP(-12140/(8.314*$B$1))</f>
        <v>9.5663535608448352E-16</v>
      </c>
      <c r="T214" s="81">
        <v>114</v>
      </c>
      <c r="U214" s="55" t="s">
        <v>343</v>
      </c>
      <c r="V214" s="5" t="s">
        <v>12</v>
      </c>
      <c r="W214" s="5" t="s">
        <v>12</v>
      </c>
      <c r="X214" s="5" t="s">
        <v>12</v>
      </c>
      <c r="Y214" s="5" t="s">
        <v>12</v>
      </c>
      <c r="Z214" s="84"/>
      <c r="AA214" s="84"/>
      <c r="AD214" s="5" t="s">
        <v>12</v>
      </c>
      <c r="AE214" s="5" t="s">
        <v>12</v>
      </c>
      <c r="AF214" s="5" t="s">
        <v>12</v>
      </c>
      <c r="AG214" s="5" t="s">
        <v>12</v>
      </c>
    </row>
    <row r="215" spans="1:34" x14ac:dyDescent="0.25">
      <c r="A215" s="8">
        <v>212</v>
      </c>
      <c r="B215" s="150"/>
      <c r="C215" s="137"/>
      <c r="D215" s="137"/>
      <c r="E215" s="149"/>
      <c r="F215" s="1" t="s">
        <v>104</v>
      </c>
      <c r="G215" s="1" t="s">
        <v>1</v>
      </c>
      <c r="H215" s="1" t="s">
        <v>14</v>
      </c>
      <c r="I215" s="5" t="s">
        <v>12</v>
      </c>
      <c r="J215" s="5" t="s">
        <v>12</v>
      </c>
      <c r="K215" s="5" t="s">
        <v>12</v>
      </c>
      <c r="L215" s="4">
        <f>0.0000000218*($B$1/298)^-1.06*EXP(-198000/(8.314*$B$1))</f>
        <v>2.1849337437624079E-29</v>
      </c>
      <c r="M215" s="139"/>
      <c r="N215" s="139"/>
      <c r="O215" s="143" t="s">
        <v>330</v>
      </c>
      <c r="P215" s="5" t="s">
        <v>12</v>
      </c>
      <c r="Q215" s="5" t="s">
        <v>12</v>
      </c>
      <c r="R215" s="5" t="s">
        <v>12</v>
      </c>
      <c r="S215" s="5" t="s">
        <v>12</v>
      </c>
      <c r="V215" s="5" t="s">
        <v>12</v>
      </c>
      <c r="W215" s="5" t="s">
        <v>12</v>
      </c>
      <c r="X215" s="5" t="s">
        <v>12</v>
      </c>
      <c r="Y215" s="5" t="s">
        <v>12</v>
      </c>
      <c r="AD215" s="5" t="s">
        <v>12</v>
      </c>
      <c r="AE215" s="5" t="s">
        <v>12</v>
      </c>
      <c r="AF215" s="5" t="s">
        <v>12</v>
      </c>
      <c r="AG215" s="5" t="s">
        <v>12</v>
      </c>
    </row>
    <row r="216" spans="1:34" x14ac:dyDescent="0.25">
      <c r="A216" s="8">
        <v>213</v>
      </c>
      <c r="B216" s="150"/>
      <c r="C216" s="137"/>
      <c r="D216" s="137"/>
      <c r="E216" s="149"/>
      <c r="F216" s="1" t="s">
        <v>43</v>
      </c>
      <c r="G216" s="1" t="s">
        <v>1</v>
      </c>
      <c r="H216" s="1" t="s">
        <v>65</v>
      </c>
      <c r="I216" s="5" t="s">
        <v>12</v>
      </c>
      <c r="J216" s="5" t="s">
        <v>12</v>
      </c>
      <c r="K216" s="5" t="s">
        <v>12</v>
      </c>
      <c r="L216" s="4">
        <f>0.000000503*($B$1/298)^-2.16*EXP(-155000/(8.314*$B$1))</f>
        <v>9.2494558139197577E-24</v>
      </c>
      <c r="M216" s="139"/>
      <c r="N216" s="139"/>
      <c r="O216" s="143"/>
      <c r="P216" s="5" t="s">
        <v>12</v>
      </c>
      <c r="Q216" s="5" t="s">
        <v>12</v>
      </c>
      <c r="R216" s="5" t="s">
        <v>12</v>
      </c>
      <c r="S216" s="5" t="s">
        <v>12</v>
      </c>
      <c r="V216" s="5" t="s">
        <v>12</v>
      </c>
      <c r="W216" s="5" t="s">
        <v>12</v>
      </c>
      <c r="X216" s="5" t="s">
        <v>12</v>
      </c>
      <c r="Y216" s="5" t="s">
        <v>12</v>
      </c>
      <c r="AD216" s="5" t="s">
        <v>12</v>
      </c>
      <c r="AE216" s="5" t="s">
        <v>12</v>
      </c>
      <c r="AF216" s="5" t="s">
        <v>12</v>
      </c>
      <c r="AG216" s="5" t="s">
        <v>12</v>
      </c>
    </row>
    <row r="217" spans="1:34" ht="18" x14ac:dyDescent="0.35">
      <c r="A217" s="8">
        <v>214</v>
      </c>
      <c r="B217" s="150"/>
      <c r="C217" s="137"/>
      <c r="D217" s="137"/>
      <c r="E217" s="149"/>
      <c r="F217" s="1" t="s">
        <v>77</v>
      </c>
      <c r="G217" s="1" t="s">
        <v>1</v>
      </c>
      <c r="H217" s="1" t="s">
        <v>6</v>
      </c>
      <c r="I217" s="5" t="s">
        <v>12</v>
      </c>
      <c r="J217" s="5" t="s">
        <v>12</v>
      </c>
      <c r="K217" s="5" t="s">
        <v>12</v>
      </c>
      <c r="L217" s="4">
        <f>0.000000000365*($B$1/298)*EXP(-70100/(8.314*$B$1))</f>
        <v>2.7206827448290636E-17</v>
      </c>
      <c r="M217" s="139"/>
      <c r="N217" s="139"/>
      <c r="O217" s="8" t="s">
        <v>336</v>
      </c>
      <c r="P217" s="5" t="s">
        <v>12</v>
      </c>
      <c r="Q217" s="5" t="s">
        <v>12</v>
      </c>
      <c r="R217" s="5" t="s">
        <v>12</v>
      </c>
      <c r="S217" s="4">
        <f>0.00000000103*($B$1/298)*EXP(-82900/(8.314*$B$1))</f>
        <v>3.4914109004851927E-18</v>
      </c>
      <c r="T217" s="81">
        <v>115</v>
      </c>
      <c r="U217" s="55" t="s">
        <v>344</v>
      </c>
      <c r="V217" s="5" t="s">
        <v>12</v>
      </c>
      <c r="W217" s="5" t="s">
        <v>12</v>
      </c>
      <c r="X217" s="5" t="s">
        <v>12</v>
      </c>
      <c r="Y217" s="4">
        <f>0.00000000000531*($B$1/298)*EXP(-337000/(8.314*$B$1))</f>
        <v>4.0744430693273435E-47</v>
      </c>
      <c r="Z217" s="139">
        <v>116</v>
      </c>
      <c r="AA217" s="139"/>
      <c r="AB217" s="26" t="s">
        <v>515</v>
      </c>
      <c r="AD217" s="5" t="s">
        <v>12</v>
      </c>
      <c r="AE217" s="5" t="s">
        <v>12</v>
      </c>
      <c r="AF217" s="5" t="s">
        <v>12</v>
      </c>
      <c r="AG217" s="5" t="s">
        <v>12</v>
      </c>
    </row>
    <row r="218" spans="1:34" x14ac:dyDescent="0.25">
      <c r="A218" s="8">
        <v>215</v>
      </c>
      <c r="B218" s="1" t="s">
        <v>47</v>
      </c>
      <c r="E218" s="2" t="s">
        <v>0</v>
      </c>
      <c r="F218" s="1" t="s">
        <v>43</v>
      </c>
      <c r="G218" s="1" t="s">
        <v>1</v>
      </c>
      <c r="H218" s="1" t="s">
        <v>29</v>
      </c>
      <c r="I218" s="4">
        <f>0.00000104*($B$1/298)^-1.61*EXP(-213/(8.314*$B$1))</f>
        <v>4.3195281276652134E-7</v>
      </c>
      <c r="J218" s="5" t="s">
        <v>12</v>
      </c>
      <c r="K218" s="4">
        <f>1040000000000000*($B$1/298)^-0.43*EXP(-207/(8.314*$B$1))</f>
        <v>793186364770757</v>
      </c>
      <c r="L218" s="5" t="s">
        <v>12</v>
      </c>
      <c r="M218" s="139">
        <v>106</v>
      </c>
      <c r="N218" s="139"/>
      <c r="O218" s="8" t="s">
        <v>345</v>
      </c>
      <c r="P218" s="5" t="s">
        <v>12</v>
      </c>
      <c r="Q218" s="5" t="s">
        <v>12</v>
      </c>
      <c r="R218" s="5" t="s">
        <v>12</v>
      </c>
      <c r="S218" s="5" t="s">
        <v>12</v>
      </c>
      <c r="V218" s="5" t="s">
        <v>12</v>
      </c>
      <c r="W218" s="5" t="s">
        <v>12</v>
      </c>
      <c r="X218" s="5" t="s">
        <v>12</v>
      </c>
      <c r="Y218" s="4">
        <f>0.000000000244*($B$1/298)^-0.41</f>
        <v>1.9765182986333146E-10</v>
      </c>
      <c r="Z218" s="139">
        <v>106</v>
      </c>
      <c r="AA218" s="139"/>
      <c r="AB218" s="26" t="s">
        <v>242</v>
      </c>
      <c r="AD218" s="5" t="s">
        <v>12</v>
      </c>
      <c r="AE218" s="5" t="s">
        <v>12</v>
      </c>
      <c r="AF218" s="5" t="s">
        <v>12</v>
      </c>
      <c r="AG218" s="5" t="s">
        <v>12</v>
      </c>
    </row>
    <row r="219" spans="1:34" x14ac:dyDescent="0.25">
      <c r="A219" s="8">
        <v>216</v>
      </c>
      <c r="B219" s="150" t="s">
        <v>47</v>
      </c>
      <c r="C219" s="137" t="s">
        <v>1</v>
      </c>
      <c r="D219" s="137" t="s">
        <v>47</v>
      </c>
      <c r="E219" s="149" t="s">
        <v>0</v>
      </c>
      <c r="F219" s="1" t="s">
        <v>112</v>
      </c>
      <c r="G219" s="33"/>
      <c r="H219" s="1"/>
      <c r="I219" s="5" t="s">
        <v>12</v>
      </c>
      <c r="J219" s="5" t="s">
        <v>12</v>
      </c>
      <c r="K219" s="5" t="s">
        <v>12</v>
      </c>
      <c r="L219" s="4">
        <f>0.00000000000000664*($B$1/298)*EXP(-2240/(8.314*$B$1))</f>
        <v>6.4628372969440353E-15</v>
      </c>
      <c r="M219" s="139" t="s">
        <v>539</v>
      </c>
      <c r="N219" s="139"/>
      <c r="O219" s="143" t="s">
        <v>346</v>
      </c>
      <c r="P219" s="5" t="s">
        <v>12</v>
      </c>
      <c r="Q219" s="5" t="s">
        <v>12</v>
      </c>
      <c r="R219" s="5" t="s">
        <v>12</v>
      </c>
      <c r="S219" s="5" t="s">
        <v>12</v>
      </c>
      <c r="V219" s="5" t="s">
        <v>12</v>
      </c>
      <c r="W219" s="5" t="s">
        <v>12</v>
      </c>
      <c r="X219" s="5" t="s">
        <v>12</v>
      </c>
      <c r="Y219" s="5" t="s">
        <v>12</v>
      </c>
      <c r="AD219" s="5" t="s">
        <v>12</v>
      </c>
      <c r="AE219" s="5" t="s">
        <v>12</v>
      </c>
      <c r="AF219" s="5" t="s">
        <v>12</v>
      </c>
      <c r="AG219" s="5" t="s">
        <v>12</v>
      </c>
    </row>
    <row r="220" spans="1:34" x14ac:dyDescent="0.25">
      <c r="A220" s="8">
        <v>217</v>
      </c>
      <c r="B220" s="150"/>
      <c r="C220" s="137"/>
      <c r="D220" s="137"/>
      <c r="E220" s="149"/>
      <c r="F220" s="1" t="s">
        <v>112</v>
      </c>
      <c r="I220" s="5" t="s">
        <v>12</v>
      </c>
      <c r="J220" s="5" t="s">
        <v>12</v>
      </c>
      <c r="K220" s="5" t="s">
        <v>12</v>
      </c>
      <c r="L220" s="4">
        <f>0.0000000000000302*($B$1/298)^-2.4*EXP(-4910/(8.314*$B$1))</f>
        <v>2.6890195033646698E-15</v>
      </c>
      <c r="M220" s="139"/>
      <c r="N220" s="139"/>
      <c r="O220" s="143"/>
      <c r="P220" s="5" t="s">
        <v>12</v>
      </c>
      <c r="Q220" s="5" t="s">
        <v>12</v>
      </c>
      <c r="R220" s="5" t="s">
        <v>12</v>
      </c>
      <c r="S220" s="5" t="s">
        <v>12</v>
      </c>
      <c r="V220" s="5" t="s">
        <v>12</v>
      </c>
      <c r="W220" s="5" t="s">
        <v>12</v>
      </c>
      <c r="X220" s="5" t="s">
        <v>12</v>
      </c>
      <c r="Y220" s="5" t="s">
        <v>12</v>
      </c>
      <c r="AD220" s="5" t="s">
        <v>12</v>
      </c>
      <c r="AE220" s="5" t="s">
        <v>12</v>
      </c>
      <c r="AF220" s="5" t="s">
        <v>12</v>
      </c>
      <c r="AG220" s="5" t="s">
        <v>12</v>
      </c>
    </row>
    <row r="221" spans="1:34" x14ac:dyDescent="0.25">
      <c r="A221" s="8">
        <v>218</v>
      </c>
      <c r="B221" s="150"/>
      <c r="C221" s="137"/>
      <c r="D221" s="137"/>
      <c r="E221" s="149"/>
      <c r="F221" s="1" t="s">
        <v>43</v>
      </c>
      <c r="G221" s="33" t="s">
        <v>1</v>
      </c>
      <c r="H221" s="1" t="s">
        <v>113</v>
      </c>
      <c r="I221" s="5" t="s">
        <v>12</v>
      </c>
      <c r="J221" s="5" t="s">
        <v>12</v>
      </c>
      <c r="K221" s="5" t="s">
        <v>12</v>
      </c>
      <c r="L221" s="4">
        <f>0.000000000000000332*($B$1/298)*EXP(-17460/(8.314*$B$1))</f>
        <v>8.1923446298860341E-18</v>
      </c>
      <c r="M221" s="139"/>
      <c r="N221" s="139"/>
      <c r="O221" s="143"/>
      <c r="P221" s="5" t="s">
        <v>12</v>
      </c>
      <c r="Q221" s="5" t="s">
        <v>12</v>
      </c>
      <c r="R221" s="5" t="s">
        <v>12</v>
      </c>
      <c r="S221" s="5" t="s">
        <v>12</v>
      </c>
      <c r="V221" s="5" t="s">
        <v>12</v>
      </c>
      <c r="W221" s="5" t="s">
        <v>12</v>
      </c>
      <c r="X221" s="5" t="s">
        <v>12</v>
      </c>
      <c r="Y221" s="5" t="s">
        <v>12</v>
      </c>
      <c r="AD221" s="5" t="s">
        <v>12</v>
      </c>
      <c r="AE221" s="5" t="s">
        <v>12</v>
      </c>
      <c r="AF221" s="5" t="s">
        <v>12</v>
      </c>
      <c r="AG221" s="5" t="s">
        <v>12</v>
      </c>
    </row>
    <row r="222" spans="1:34" ht="18" x14ac:dyDescent="0.35">
      <c r="A222" s="8">
        <v>219</v>
      </c>
      <c r="B222" s="150"/>
      <c r="C222" s="137"/>
      <c r="D222" s="137"/>
      <c r="E222" s="149"/>
      <c r="F222" s="1" t="s">
        <v>76</v>
      </c>
      <c r="G222" s="1" t="s">
        <v>1</v>
      </c>
      <c r="H222" s="1" t="s">
        <v>32</v>
      </c>
      <c r="I222" s="5" t="s">
        <v>12</v>
      </c>
      <c r="J222" s="5" t="s">
        <v>12</v>
      </c>
      <c r="K222" s="5" t="s">
        <v>12</v>
      </c>
      <c r="L222" s="4">
        <f>0.0000000000000000423*($B$1/298)^3.98*EXP(-4990/(8.314*$B$1))</f>
        <v>9.7993301044043197E-17</v>
      </c>
      <c r="M222" s="139"/>
      <c r="N222" s="139"/>
      <c r="O222" s="143"/>
      <c r="P222" s="5" t="s">
        <v>12</v>
      </c>
      <c r="Q222" s="5" t="s">
        <v>12</v>
      </c>
      <c r="R222" s="5" t="s">
        <v>12</v>
      </c>
      <c r="S222" s="4">
        <f>0.0000000000000014*($B$1/298)*EXP(-12970/(8.314*$B$1))</f>
        <v>1.0214667411822525E-16</v>
      </c>
      <c r="T222" s="80">
        <v>106</v>
      </c>
      <c r="U222" s="55" t="s">
        <v>114</v>
      </c>
      <c r="V222" s="5" t="s">
        <v>12</v>
      </c>
      <c r="W222" s="5" t="s">
        <v>12</v>
      </c>
      <c r="X222" s="5" t="s">
        <v>12</v>
      </c>
      <c r="Y222" s="5" t="s">
        <v>12</v>
      </c>
      <c r="AD222" s="5" t="s">
        <v>12</v>
      </c>
      <c r="AE222" s="5" t="s">
        <v>12</v>
      </c>
      <c r="AF222" s="5" t="s">
        <v>12</v>
      </c>
      <c r="AG222" s="5" t="s">
        <v>12</v>
      </c>
    </row>
    <row r="223" spans="1:34" ht="18" x14ac:dyDescent="0.35">
      <c r="A223" s="8">
        <v>222</v>
      </c>
      <c r="B223" s="43" t="s">
        <v>47</v>
      </c>
      <c r="C223" s="36" t="s">
        <v>1</v>
      </c>
      <c r="D223" s="36" t="s">
        <v>43</v>
      </c>
      <c r="E223" s="2" t="s">
        <v>0</v>
      </c>
      <c r="F223" s="42" t="s">
        <v>76</v>
      </c>
      <c r="G223" s="42" t="s">
        <v>1</v>
      </c>
      <c r="H223" s="42" t="s">
        <v>6</v>
      </c>
      <c r="I223" s="5" t="s">
        <v>12</v>
      </c>
      <c r="J223" s="5" t="s">
        <v>12</v>
      </c>
      <c r="K223" s="5" t="s">
        <v>12</v>
      </c>
      <c r="L223" s="4">
        <f>0.0000000000141*($B$1/298)*EXP(-124000/(8.314*$B$1))</f>
        <v>2.3420391425994521E-24</v>
      </c>
      <c r="M223" s="139">
        <v>118</v>
      </c>
      <c r="N223" s="139"/>
      <c r="O223" s="8" t="s">
        <v>347</v>
      </c>
      <c r="P223" s="5" t="s">
        <v>12</v>
      </c>
      <c r="Q223" s="5" t="s">
        <v>12</v>
      </c>
      <c r="R223" s="5" t="s">
        <v>12</v>
      </c>
      <c r="S223" s="5" t="s">
        <v>12</v>
      </c>
      <c r="V223" s="5" t="s">
        <v>12</v>
      </c>
      <c r="W223" s="5" t="s">
        <v>12</v>
      </c>
      <c r="X223" s="5" t="s">
        <v>12</v>
      </c>
      <c r="Y223" s="5" t="s">
        <v>12</v>
      </c>
      <c r="Z223" s="84"/>
      <c r="AA223" s="84"/>
      <c r="AD223" s="5" t="s">
        <v>12</v>
      </c>
      <c r="AE223" s="5" t="s">
        <v>12</v>
      </c>
      <c r="AF223" s="5" t="s">
        <v>12</v>
      </c>
      <c r="AG223" s="5" t="s">
        <v>12</v>
      </c>
      <c r="AH223" s="84"/>
    </row>
    <row r="224" spans="1:34" ht="18" x14ac:dyDescent="0.35">
      <c r="A224" s="8">
        <v>220</v>
      </c>
      <c r="B224" s="150" t="s">
        <v>47</v>
      </c>
      <c r="C224" s="137" t="s">
        <v>1</v>
      </c>
      <c r="D224" s="137" t="s">
        <v>44</v>
      </c>
      <c r="E224" s="149" t="s">
        <v>0</v>
      </c>
      <c r="F224" s="1" t="s">
        <v>52</v>
      </c>
      <c r="G224" s="1" t="s">
        <v>1</v>
      </c>
      <c r="H224" s="1" t="s">
        <v>43</v>
      </c>
      <c r="I224" s="5" t="s">
        <v>12</v>
      </c>
      <c r="J224" s="5" t="s">
        <v>12</v>
      </c>
      <c r="K224" s="5" t="s">
        <v>12</v>
      </c>
      <c r="L224" s="4">
        <f>0.000000000001*($B$1/298)*EXP(-8310/(8.314*$B$1))</f>
        <v>2.2477532621065166E-13</v>
      </c>
      <c r="M224" s="139">
        <v>106</v>
      </c>
      <c r="N224" s="139"/>
      <c r="O224" s="8" t="s">
        <v>345</v>
      </c>
      <c r="P224" s="5" t="s">
        <v>12</v>
      </c>
      <c r="Q224" s="5" t="s">
        <v>12</v>
      </c>
      <c r="R224" s="5" t="s">
        <v>12</v>
      </c>
      <c r="S224" s="5" t="s">
        <v>12</v>
      </c>
      <c r="V224" s="5" t="s">
        <v>12</v>
      </c>
      <c r="W224" s="5" t="s">
        <v>12</v>
      </c>
      <c r="X224" s="5" t="s">
        <v>12</v>
      </c>
      <c r="Y224" s="5" t="s">
        <v>12</v>
      </c>
      <c r="AD224" s="5" t="s">
        <v>12</v>
      </c>
      <c r="AE224" s="5" t="s">
        <v>12</v>
      </c>
      <c r="AF224" s="5" t="s">
        <v>12</v>
      </c>
      <c r="AG224" s="5" t="s">
        <v>12</v>
      </c>
    </row>
    <row r="225" spans="1:35" x14ac:dyDescent="0.25">
      <c r="A225" s="8">
        <v>221</v>
      </c>
      <c r="B225" s="150"/>
      <c r="C225" s="137"/>
      <c r="D225" s="137"/>
      <c r="E225" s="149"/>
      <c r="F225" s="1" t="s">
        <v>71</v>
      </c>
      <c r="G225" s="1" t="s">
        <v>1</v>
      </c>
      <c r="H225" s="1" t="s">
        <v>43</v>
      </c>
      <c r="I225" s="5" t="s">
        <v>12</v>
      </c>
      <c r="J225" s="5" t="s">
        <v>12</v>
      </c>
      <c r="K225" s="5" t="s">
        <v>12</v>
      </c>
      <c r="L225" s="4">
        <f>4.15E-37*($B$1/298)^2.64*EXP(-16910/(8.314*$B$1))</f>
        <v>2.7161124473096668E-38</v>
      </c>
      <c r="M225" s="139" t="s">
        <v>540</v>
      </c>
      <c r="N225" s="139"/>
      <c r="O225" s="8" t="s">
        <v>182</v>
      </c>
      <c r="P225" s="5" t="s">
        <v>12</v>
      </c>
      <c r="Q225" s="5" t="s">
        <v>12</v>
      </c>
      <c r="R225" s="5" t="s">
        <v>12</v>
      </c>
      <c r="S225" s="5" t="s">
        <v>12</v>
      </c>
      <c r="V225" s="5" t="s">
        <v>12</v>
      </c>
      <c r="W225" s="5" t="s">
        <v>12</v>
      </c>
      <c r="X225" s="5" t="s">
        <v>12</v>
      </c>
      <c r="Y225" s="4">
        <f>7.67E-36*($B$1/298)^-0.36*EXP(-159000/(8.314*$B$1))</f>
        <v>1.3538120396900703E-52</v>
      </c>
      <c r="Z225" s="139" t="s">
        <v>540</v>
      </c>
      <c r="AA225" s="139"/>
      <c r="AB225" s="15" t="s">
        <v>181</v>
      </c>
      <c r="AD225" s="5" t="s">
        <v>12</v>
      </c>
      <c r="AE225" s="5" t="s">
        <v>12</v>
      </c>
      <c r="AF225" s="5" t="s">
        <v>12</v>
      </c>
      <c r="AG225" s="5" t="s">
        <v>12</v>
      </c>
    </row>
    <row r="226" spans="1:35" ht="18" x14ac:dyDescent="0.35">
      <c r="A226" s="8">
        <v>223</v>
      </c>
      <c r="B226" s="1" t="s">
        <v>47</v>
      </c>
      <c r="C226" s="1" t="s">
        <v>1</v>
      </c>
      <c r="D226" s="1" t="s">
        <v>6</v>
      </c>
      <c r="E226" s="2" t="s">
        <v>0</v>
      </c>
      <c r="F226" s="1" t="s">
        <v>32</v>
      </c>
      <c r="G226" s="1" t="s">
        <v>1</v>
      </c>
      <c r="H226" s="1" t="s">
        <v>43</v>
      </c>
      <c r="I226" s="5" t="s">
        <v>12</v>
      </c>
      <c r="J226" s="5" t="s">
        <v>12</v>
      </c>
      <c r="K226" s="5" t="s">
        <v>12</v>
      </c>
      <c r="L226" s="4">
        <f>0.00000000000472*($B$1/298)^0.94*EXP(-1990/(8.314*$B$1))</f>
        <v>4.7317715574130806E-12</v>
      </c>
      <c r="M226" s="139">
        <v>120</v>
      </c>
      <c r="N226" s="139"/>
      <c r="O226" s="8" t="s">
        <v>163</v>
      </c>
      <c r="P226" s="5" t="s">
        <v>12</v>
      </c>
      <c r="Q226" s="5" t="s">
        <v>12</v>
      </c>
      <c r="R226" s="5" t="s">
        <v>12</v>
      </c>
      <c r="S226" s="4">
        <f>0.00000000008*($B$1/298)*EXP(-4160/(8.314*$B$1))</f>
        <v>4.897922797835803E-11</v>
      </c>
      <c r="T226" s="139">
        <v>106</v>
      </c>
      <c r="U226" s="55" t="s">
        <v>232</v>
      </c>
      <c r="V226" s="5" t="s">
        <v>12</v>
      </c>
      <c r="W226" s="5" t="s">
        <v>12</v>
      </c>
      <c r="X226" s="5" t="s">
        <v>12</v>
      </c>
      <c r="Y226" s="5" t="s">
        <v>12</v>
      </c>
      <c r="AD226" s="5" t="s">
        <v>12</v>
      </c>
      <c r="AE226" s="5" t="s">
        <v>12</v>
      </c>
      <c r="AF226" s="5" t="s">
        <v>12</v>
      </c>
      <c r="AG226" s="5" t="s">
        <v>12</v>
      </c>
    </row>
    <row r="227" spans="1:35" ht="18" x14ac:dyDescent="0.35">
      <c r="A227" s="8">
        <v>224</v>
      </c>
      <c r="B227" s="1" t="s">
        <v>47</v>
      </c>
      <c r="C227" s="1" t="s">
        <v>1</v>
      </c>
      <c r="D227" s="1" t="s">
        <v>14</v>
      </c>
      <c r="E227" s="2" t="s">
        <v>0</v>
      </c>
      <c r="F227" s="1" t="s">
        <v>43</v>
      </c>
      <c r="G227" s="33" t="s">
        <v>1</v>
      </c>
      <c r="H227" s="33" t="s">
        <v>6</v>
      </c>
      <c r="I227" s="5" t="s">
        <v>12</v>
      </c>
      <c r="J227" s="5" t="s">
        <v>12</v>
      </c>
      <c r="K227" s="5" t="s">
        <v>12</v>
      </c>
      <c r="L227" s="4">
        <v>1.25E-26</v>
      </c>
      <c r="M227" s="139">
        <v>121</v>
      </c>
      <c r="N227" s="139"/>
      <c r="O227" s="8" t="s">
        <v>111</v>
      </c>
      <c r="P227" s="5" t="s">
        <v>12</v>
      </c>
      <c r="Q227" s="5" t="s">
        <v>12</v>
      </c>
      <c r="R227" s="5" t="s">
        <v>12</v>
      </c>
      <c r="S227" s="4">
        <v>5.9899999999999995E-11</v>
      </c>
      <c r="T227" s="139"/>
      <c r="U227" s="55" t="s">
        <v>243</v>
      </c>
      <c r="V227" s="5" t="s">
        <v>12</v>
      </c>
      <c r="W227" s="5" t="s">
        <v>12</v>
      </c>
      <c r="X227" s="5" t="s">
        <v>12</v>
      </c>
      <c r="Y227" s="5" t="s">
        <v>12</v>
      </c>
      <c r="AD227" s="5" t="s">
        <v>12</v>
      </c>
      <c r="AE227" s="5" t="s">
        <v>12</v>
      </c>
      <c r="AF227" s="5" t="s">
        <v>12</v>
      </c>
      <c r="AG227" s="5" t="s">
        <v>12</v>
      </c>
    </row>
    <row r="228" spans="1:35" ht="18" x14ac:dyDescent="0.35">
      <c r="A228" s="8">
        <v>225</v>
      </c>
      <c r="B228" s="1" t="s">
        <v>47</v>
      </c>
      <c r="C228" s="1" t="s">
        <v>1</v>
      </c>
      <c r="D228" s="1" t="s">
        <v>29</v>
      </c>
      <c r="E228" s="2" t="s">
        <v>0</v>
      </c>
      <c r="F228" s="1" t="s">
        <v>43</v>
      </c>
      <c r="G228" s="1" t="s">
        <v>1</v>
      </c>
      <c r="H228" s="1" t="s">
        <v>31</v>
      </c>
      <c r="I228" s="5" t="s">
        <v>12</v>
      </c>
      <c r="J228" s="5" t="s">
        <v>12</v>
      </c>
      <c r="K228" s="5" t="s">
        <v>12</v>
      </c>
      <c r="L228" s="4">
        <f>0.0000000000235*($B$1/298)^0.94*EXP(-2070/(8.314*$B$1))</f>
        <v>2.3107914390820557E-11</v>
      </c>
      <c r="M228" s="139">
        <v>120</v>
      </c>
      <c r="N228" s="139"/>
      <c r="O228" s="8" t="s">
        <v>348</v>
      </c>
      <c r="P228" s="5" t="s">
        <v>12</v>
      </c>
      <c r="Q228" s="5" t="s">
        <v>12</v>
      </c>
      <c r="R228" s="5" t="s">
        <v>12</v>
      </c>
      <c r="S228" s="4">
        <f>0.0000000000301*($B$1/298)*EXP(-4160/(8.314*$B$1))</f>
        <v>1.8428434526857209E-11</v>
      </c>
      <c r="T228" s="139"/>
      <c r="U228" s="55" t="s">
        <v>232</v>
      </c>
      <c r="V228" s="5" t="s">
        <v>12</v>
      </c>
      <c r="W228" s="5" t="s">
        <v>12</v>
      </c>
      <c r="X228" s="5" t="s">
        <v>12</v>
      </c>
      <c r="Y228" s="4">
        <f>0.0000000000231*($B$1/298)*EXP(-236000/(8.314*$B$1))</f>
        <v>6.9111552697543042E-36</v>
      </c>
      <c r="Z228" s="139">
        <v>106</v>
      </c>
      <c r="AA228" s="139"/>
      <c r="AB228" s="26" t="s">
        <v>244</v>
      </c>
      <c r="AD228" s="5" t="s">
        <v>12</v>
      </c>
      <c r="AE228" s="5" t="s">
        <v>12</v>
      </c>
      <c r="AF228" s="5" t="s">
        <v>12</v>
      </c>
      <c r="AG228" s="5" t="s">
        <v>12</v>
      </c>
    </row>
    <row r="229" spans="1:35" x14ac:dyDescent="0.25">
      <c r="A229" s="8">
        <v>226</v>
      </c>
      <c r="B229" s="1" t="s">
        <v>43</v>
      </c>
      <c r="E229" s="2" t="s">
        <v>0</v>
      </c>
      <c r="F229" s="1" t="s">
        <v>80</v>
      </c>
      <c r="G229" s="1" t="s">
        <v>1</v>
      </c>
      <c r="H229" s="1" t="s">
        <v>14</v>
      </c>
      <c r="I229" s="5" t="s">
        <v>12</v>
      </c>
      <c r="J229" s="5" t="s">
        <v>12</v>
      </c>
      <c r="K229" s="5" t="s">
        <v>12</v>
      </c>
      <c r="L229" s="4">
        <f>0.0000000016*($B$1/298)*EXP(-620000/(8.314*$B$1))</f>
        <v>2.5907152584287944E-74</v>
      </c>
      <c r="M229" s="139">
        <v>106</v>
      </c>
      <c r="N229" s="139"/>
      <c r="O229" s="8" t="s">
        <v>349</v>
      </c>
      <c r="P229" s="5" t="s">
        <v>12</v>
      </c>
      <c r="Q229" s="5" t="s">
        <v>12</v>
      </c>
      <c r="R229" s="5" t="s">
        <v>12</v>
      </c>
      <c r="S229" s="5" t="s">
        <v>12</v>
      </c>
      <c r="V229" s="5" t="s">
        <v>12</v>
      </c>
      <c r="W229" s="5" t="s">
        <v>12</v>
      </c>
      <c r="X229" s="5" t="s">
        <v>12</v>
      </c>
      <c r="Y229" s="5" t="s">
        <v>12</v>
      </c>
      <c r="AD229" s="5" t="s">
        <v>12</v>
      </c>
      <c r="AE229" s="5" t="s">
        <v>12</v>
      </c>
      <c r="AF229" s="5" t="s">
        <v>12</v>
      </c>
      <c r="AG229" s="5" t="s">
        <v>12</v>
      </c>
    </row>
    <row r="230" spans="1:35" ht="18" x14ac:dyDescent="0.35">
      <c r="A230" s="8">
        <v>227</v>
      </c>
      <c r="B230" s="150" t="s">
        <v>43</v>
      </c>
      <c r="C230" s="137" t="s">
        <v>1</v>
      </c>
      <c r="D230" s="137" t="s">
        <v>43</v>
      </c>
      <c r="E230" s="149" t="s">
        <v>0</v>
      </c>
      <c r="F230" s="1" t="s">
        <v>77</v>
      </c>
      <c r="G230" s="1" t="s">
        <v>1</v>
      </c>
      <c r="H230" s="1" t="s">
        <v>23</v>
      </c>
      <c r="I230" s="5" t="s">
        <v>12</v>
      </c>
      <c r="J230" s="5" t="s">
        <v>12</v>
      </c>
      <c r="K230" s="5" t="s">
        <v>12</v>
      </c>
      <c r="L230" s="4">
        <f>0.0000000000051*($B$1/298)^0.5*EXP(-254000/(8.314*$B$1))</f>
        <v>1.5291081722177438E-38</v>
      </c>
      <c r="M230" s="139">
        <v>122</v>
      </c>
      <c r="N230" s="139"/>
      <c r="O230" s="9" t="s">
        <v>353</v>
      </c>
      <c r="P230" s="5" t="s">
        <v>12</v>
      </c>
      <c r="Q230" s="5" t="s">
        <v>12</v>
      </c>
      <c r="R230" s="5" t="s">
        <v>12</v>
      </c>
      <c r="S230" s="5" t="s">
        <v>12</v>
      </c>
      <c r="V230" s="5" t="s">
        <v>12</v>
      </c>
      <c r="W230" s="5" t="s">
        <v>12</v>
      </c>
      <c r="X230" s="5" t="s">
        <v>12</v>
      </c>
      <c r="Y230" s="5" t="s">
        <v>12</v>
      </c>
      <c r="AB230" s="22"/>
      <c r="AC230" s="73"/>
      <c r="AD230" s="5" t="s">
        <v>12</v>
      </c>
      <c r="AE230" s="5" t="s">
        <v>12</v>
      </c>
      <c r="AF230" s="5" t="s">
        <v>12</v>
      </c>
      <c r="AG230" s="5" t="s">
        <v>12</v>
      </c>
    </row>
    <row r="231" spans="1:35" ht="18" x14ac:dyDescent="0.35">
      <c r="A231" s="8">
        <v>228</v>
      </c>
      <c r="B231" s="150"/>
      <c r="C231" s="137"/>
      <c r="D231" s="137"/>
      <c r="E231" s="149"/>
      <c r="F231" s="1" t="s">
        <v>76</v>
      </c>
      <c r="G231" s="1" t="s">
        <v>1</v>
      </c>
      <c r="H231" s="1" t="s">
        <v>14</v>
      </c>
      <c r="I231" s="5" t="s">
        <v>12</v>
      </c>
      <c r="J231" s="5" t="s">
        <v>12</v>
      </c>
      <c r="K231" s="5" t="s">
        <v>12</v>
      </c>
      <c r="L231" s="4">
        <f>0.00000000000599*($B$1/298)*EXP(-274000/(8.314*$B$1))</f>
        <v>1.8562907957494772E-40</v>
      </c>
      <c r="M231" s="139">
        <v>106</v>
      </c>
      <c r="N231" s="139"/>
      <c r="O231" s="8" t="s">
        <v>350</v>
      </c>
      <c r="P231" s="5" t="s">
        <v>12</v>
      </c>
      <c r="Q231" s="5" t="s">
        <v>12</v>
      </c>
      <c r="R231" s="5" t="s">
        <v>12</v>
      </c>
      <c r="S231" s="5" t="s">
        <v>12</v>
      </c>
      <c r="V231" s="5" t="s">
        <v>12</v>
      </c>
      <c r="W231" s="5" t="s">
        <v>12</v>
      </c>
      <c r="X231" s="5" t="s">
        <v>12</v>
      </c>
      <c r="Y231" s="5" t="s">
        <v>12</v>
      </c>
      <c r="AB231" s="22"/>
      <c r="AC231" s="73"/>
      <c r="AD231" s="5" t="s">
        <v>12</v>
      </c>
      <c r="AE231" s="5" t="s">
        <v>12</v>
      </c>
      <c r="AF231" s="5" t="s">
        <v>12</v>
      </c>
      <c r="AG231" s="5" t="s">
        <v>12</v>
      </c>
    </row>
    <row r="232" spans="1:35" ht="18" x14ac:dyDescent="0.35">
      <c r="A232" s="8">
        <v>229</v>
      </c>
      <c r="B232" s="29" t="s">
        <v>43</v>
      </c>
      <c r="C232" s="30" t="s">
        <v>1</v>
      </c>
      <c r="D232" s="17" t="s">
        <v>44</v>
      </c>
      <c r="E232" s="32" t="s">
        <v>0</v>
      </c>
      <c r="F232" s="1" t="s">
        <v>120</v>
      </c>
      <c r="G232" s="1"/>
      <c r="H232" s="1"/>
      <c r="I232" s="5" t="s">
        <v>12</v>
      </c>
      <c r="J232" s="5" t="s">
        <v>12</v>
      </c>
      <c r="K232" s="5" t="s">
        <v>12</v>
      </c>
      <c r="L232" s="4">
        <f>0.00000000000783*($B$1/298)^1.4</f>
        <v>1.6075451550820153E-11</v>
      </c>
      <c r="M232" s="139">
        <v>75</v>
      </c>
      <c r="N232" s="139"/>
      <c r="O232" s="8" t="s">
        <v>351</v>
      </c>
      <c r="P232" s="5" t="s">
        <v>12</v>
      </c>
      <c r="Q232" s="5" t="s">
        <v>12</v>
      </c>
      <c r="R232" s="5" t="s">
        <v>12</v>
      </c>
      <c r="S232" s="5" t="s">
        <v>12</v>
      </c>
      <c r="V232" s="5" t="s">
        <v>12</v>
      </c>
      <c r="W232" s="5" t="s">
        <v>12</v>
      </c>
      <c r="X232" s="5" t="s">
        <v>12</v>
      </c>
      <c r="Y232" s="5" t="s">
        <v>12</v>
      </c>
      <c r="AD232" s="5" t="s">
        <v>12</v>
      </c>
      <c r="AE232" s="5" t="s">
        <v>12</v>
      </c>
      <c r="AF232" s="5" t="s">
        <v>12</v>
      </c>
      <c r="AG232" s="5" t="s">
        <v>12</v>
      </c>
    </row>
    <row r="233" spans="1:35" x14ac:dyDescent="0.25">
      <c r="A233" s="8">
        <v>230</v>
      </c>
      <c r="B233" s="1" t="s">
        <v>43</v>
      </c>
      <c r="C233" s="1" t="s">
        <v>1</v>
      </c>
      <c r="D233" s="1" t="s">
        <v>6</v>
      </c>
      <c r="E233" s="2" t="s">
        <v>0</v>
      </c>
      <c r="F233" s="1" t="s">
        <v>71</v>
      </c>
      <c r="G233" s="1"/>
      <c r="H233" s="1"/>
      <c r="I233" s="5" t="s">
        <v>12</v>
      </c>
      <c r="J233" s="5" t="s">
        <v>12</v>
      </c>
      <c r="K233" s="5" t="s">
        <v>12</v>
      </c>
      <c r="L233" s="4">
        <v>3.3000000000000002E-11</v>
      </c>
      <c r="M233" s="139">
        <v>111</v>
      </c>
      <c r="N233" s="139"/>
      <c r="O233" s="8" t="s">
        <v>352</v>
      </c>
      <c r="P233" s="5" t="s">
        <v>12</v>
      </c>
      <c r="Q233" s="5" t="s">
        <v>12</v>
      </c>
      <c r="R233" s="5" t="s">
        <v>12</v>
      </c>
      <c r="S233" s="5" t="s">
        <v>12</v>
      </c>
      <c r="V233" s="5" t="s">
        <v>12</v>
      </c>
      <c r="W233" s="5" t="s">
        <v>12</v>
      </c>
      <c r="X233" s="5" t="s">
        <v>12</v>
      </c>
      <c r="Y233" s="5" t="s">
        <v>12</v>
      </c>
      <c r="AD233" s="5" t="s">
        <v>12</v>
      </c>
      <c r="AE233" s="5" t="s">
        <v>12</v>
      </c>
      <c r="AF233" s="5" t="s">
        <v>12</v>
      </c>
      <c r="AG233" s="5" t="s">
        <v>12</v>
      </c>
      <c r="AI233" s="9"/>
    </row>
    <row r="234" spans="1:35" ht="18" x14ac:dyDescent="0.35">
      <c r="A234" s="8">
        <v>232</v>
      </c>
      <c r="B234" s="150" t="s">
        <v>43</v>
      </c>
      <c r="C234" s="137" t="s">
        <v>1</v>
      </c>
      <c r="D234" s="137" t="s">
        <v>7</v>
      </c>
      <c r="E234" s="149" t="s">
        <v>0</v>
      </c>
      <c r="F234" s="1" t="s">
        <v>47</v>
      </c>
      <c r="G234" s="1" t="s">
        <v>1</v>
      </c>
      <c r="H234" s="1" t="s">
        <v>23</v>
      </c>
      <c r="I234" s="5" t="s">
        <v>12</v>
      </c>
      <c r="J234" s="5" t="s">
        <v>12</v>
      </c>
      <c r="K234" s="5" t="s">
        <v>12</v>
      </c>
      <c r="L234" s="4">
        <f>9.1E-19*($B$1/298)*EXP(23450/(8.314*$B$1))</f>
        <v>4.3770008109879319E-16</v>
      </c>
      <c r="M234" s="139">
        <v>124</v>
      </c>
      <c r="N234" s="139"/>
      <c r="O234" s="8" t="s">
        <v>355</v>
      </c>
      <c r="P234" s="5" t="s">
        <v>12</v>
      </c>
      <c r="Q234" s="5" t="s">
        <v>12</v>
      </c>
      <c r="R234" s="5" t="s">
        <v>12</v>
      </c>
      <c r="S234" s="5" t="s">
        <v>12</v>
      </c>
      <c r="V234" s="5" t="s">
        <v>12</v>
      </c>
      <c r="W234" s="5" t="s">
        <v>12</v>
      </c>
      <c r="X234" s="5" t="s">
        <v>12</v>
      </c>
      <c r="Y234" s="5" t="s">
        <v>12</v>
      </c>
      <c r="AB234" s="22"/>
      <c r="AC234" s="73"/>
      <c r="AD234" s="5" t="s">
        <v>12</v>
      </c>
      <c r="AE234" s="5" t="s">
        <v>12</v>
      </c>
      <c r="AF234" s="5" t="s">
        <v>12</v>
      </c>
      <c r="AG234" s="5" t="s">
        <v>12</v>
      </c>
    </row>
    <row r="235" spans="1:35" ht="18" x14ac:dyDescent="0.35">
      <c r="A235" s="8">
        <v>233</v>
      </c>
      <c r="B235" s="150"/>
      <c r="C235" s="137"/>
      <c r="D235" s="137"/>
      <c r="E235" s="149"/>
      <c r="F235" s="1" t="s">
        <v>44</v>
      </c>
      <c r="G235" s="1" t="s">
        <v>1</v>
      </c>
      <c r="H235" s="1" t="s">
        <v>6</v>
      </c>
      <c r="I235" s="5" t="s">
        <v>12</v>
      </c>
      <c r="J235" s="5" t="s">
        <v>12</v>
      </c>
      <c r="K235" s="5" t="s">
        <v>12</v>
      </c>
      <c r="L235" s="4">
        <f>EXP(-25.7)</f>
        <v>6.8965488232212053E-12</v>
      </c>
      <c r="M235" s="139">
        <v>123</v>
      </c>
      <c r="N235" s="139"/>
      <c r="O235" s="9" t="s">
        <v>548</v>
      </c>
      <c r="P235" s="5" t="s">
        <v>12</v>
      </c>
      <c r="Q235" s="5" t="s">
        <v>12</v>
      </c>
      <c r="R235" s="5" t="s">
        <v>12</v>
      </c>
      <c r="S235" s="4">
        <f>0.0000000000035*($B$1/298)*EXP(2000/(8.314*$B$1))</f>
        <v>9.4827432700408587E-12</v>
      </c>
      <c r="T235" s="80">
        <v>125</v>
      </c>
      <c r="U235" s="55" t="s">
        <v>245</v>
      </c>
      <c r="V235" s="5" t="s">
        <v>12</v>
      </c>
      <c r="W235" s="5" t="s">
        <v>12</v>
      </c>
      <c r="X235" s="5" t="s">
        <v>12</v>
      </c>
      <c r="Y235" s="12">
        <v>2.9999999999999998E-14</v>
      </c>
      <c r="Z235" s="139">
        <v>123</v>
      </c>
      <c r="AA235" s="139"/>
      <c r="AB235" s="22" t="s">
        <v>183</v>
      </c>
      <c r="AC235" s="73"/>
      <c r="AD235" s="5" t="s">
        <v>12</v>
      </c>
      <c r="AE235" s="5" t="s">
        <v>12</v>
      </c>
      <c r="AF235" s="5" t="s">
        <v>12</v>
      </c>
      <c r="AG235" s="12">
        <f>0.0000000000301*($B$1/298)*EXP(-27940/(8.314*$B$1))</f>
        <v>5.9141581932085204E-14</v>
      </c>
      <c r="AH235" s="81">
        <v>106</v>
      </c>
      <c r="AI235" s="9" t="s">
        <v>246</v>
      </c>
    </row>
    <row r="236" spans="1:35" ht="18" x14ac:dyDescent="0.35">
      <c r="A236" s="8">
        <v>234</v>
      </c>
      <c r="B236" s="150" t="s">
        <v>43</v>
      </c>
      <c r="C236" s="137" t="s">
        <v>1</v>
      </c>
      <c r="D236" s="137" t="s">
        <v>57</v>
      </c>
      <c r="E236" s="149" t="s">
        <v>0</v>
      </c>
      <c r="F236" s="1" t="s">
        <v>44</v>
      </c>
      <c r="G236" s="1" t="s">
        <v>1</v>
      </c>
      <c r="H236" s="1" t="s">
        <v>32</v>
      </c>
      <c r="I236" s="5" t="s">
        <v>12</v>
      </c>
      <c r="J236" s="5" t="s">
        <v>12</v>
      </c>
      <c r="K236" s="5" t="s">
        <v>12</v>
      </c>
      <c r="L236" s="12" t="s">
        <v>553</v>
      </c>
      <c r="M236" s="139">
        <v>126</v>
      </c>
      <c r="N236" s="139"/>
      <c r="O236" s="8" t="s">
        <v>356</v>
      </c>
      <c r="P236" s="5" t="s">
        <v>12</v>
      </c>
      <c r="Q236" s="5" t="s">
        <v>12</v>
      </c>
      <c r="R236" s="5" t="s">
        <v>12</v>
      </c>
      <c r="S236" s="5" t="s">
        <v>12</v>
      </c>
      <c r="V236" s="5" t="s">
        <v>12</v>
      </c>
      <c r="W236" s="5" t="s">
        <v>12</v>
      </c>
      <c r="X236" s="5" t="s">
        <v>12</v>
      </c>
      <c r="Y236" s="5" t="s">
        <v>12</v>
      </c>
      <c r="AB236" s="22"/>
      <c r="AC236" s="73"/>
      <c r="AD236" s="5" t="s">
        <v>12</v>
      </c>
      <c r="AE236" s="5" t="s">
        <v>12</v>
      </c>
      <c r="AF236" s="5" t="s">
        <v>12</v>
      </c>
      <c r="AG236" s="5" t="s">
        <v>12</v>
      </c>
    </row>
    <row r="237" spans="1:35" ht="18" x14ac:dyDescent="0.35">
      <c r="A237" s="8">
        <v>235</v>
      </c>
      <c r="B237" s="150"/>
      <c r="C237" s="137"/>
      <c r="D237" s="137"/>
      <c r="E237" s="149"/>
      <c r="F237" s="1" t="s">
        <v>52</v>
      </c>
      <c r="G237" s="1" t="s">
        <v>1</v>
      </c>
      <c r="H237" s="1" t="s">
        <v>6</v>
      </c>
      <c r="I237" s="5" t="s">
        <v>12</v>
      </c>
      <c r="J237" s="5" t="s">
        <v>12</v>
      </c>
      <c r="K237" s="5" t="s">
        <v>12</v>
      </c>
      <c r="L237" s="12" t="s">
        <v>554</v>
      </c>
      <c r="M237" s="139">
        <v>127</v>
      </c>
      <c r="N237" s="139"/>
      <c r="O237" s="8" t="s">
        <v>139</v>
      </c>
      <c r="P237" s="5" t="s">
        <v>12</v>
      </c>
      <c r="Q237" s="5" t="s">
        <v>12</v>
      </c>
      <c r="R237" s="5" t="s">
        <v>12</v>
      </c>
      <c r="S237" s="5" t="s">
        <v>12</v>
      </c>
      <c r="V237" s="5" t="s">
        <v>12</v>
      </c>
      <c r="W237" s="5" t="s">
        <v>12</v>
      </c>
      <c r="X237" s="5" t="s">
        <v>12</v>
      </c>
      <c r="Y237" s="5" t="s">
        <v>12</v>
      </c>
      <c r="AB237" s="22"/>
      <c r="AC237" s="73"/>
      <c r="AD237" s="5" t="s">
        <v>12</v>
      </c>
      <c r="AE237" s="5" t="s">
        <v>12</v>
      </c>
      <c r="AF237" s="5" t="s">
        <v>12</v>
      </c>
      <c r="AG237" s="5" t="s">
        <v>12</v>
      </c>
    </row>
    <row r="238" spans="1:35" ht="18.75" customHeight="1" x14ac:dyDescent="0.35">
      <c r="A238" s="8">
        <v>236</v>
      </c>
      <c r="B238" s="150" t="s">
        <v>43</v>
      </c>
      <c r="C238" s="137" t="s">
        <v>1</v>
      </c>
      <c r="D238" s="137" t="s">
        <v>84</v>
      </c>
      <c r="E238" s="149" t="s">
        <v>0</v>
      </c>
      <c r="F238" s="1" t="s">
        <v>44</v>
      </c>
      <c r="G238" s="1" t="s">
        <v>1</v>
      </c>
      <c r="H238" s="1" t="s">
        <v>14</v>
      </c>
      <c r="I238" s="5" t="s">
        <v>12</v>
      </c>
      <c r="J238" s="5" t="s">
        <v>12</v>
      </c>
      <c r="K238" s="5" t="s">
        <v>12</v>
      </c>
      <c r="L238" s="4">
        <v>4.8800000000000002E-18</v>
      </c>
      <c r="M238" s="139">
        <v>128</v>
      </c>
      <c r="N238" s="139"/>
      <c r="O238" s="28" t="s">
        <v>139</v>
      </c>
      <c r="P238" s="5" t="s">
        <v>12</v>
      </c>
      <c r="Q238" s="5" t="s">
        <v>12</v>
      </c>
      <c r="R238" s="5" t="s">
        <v>12</v>
      </c>
      <c r="S238" s="5" t="s">
        <v>12</v>
      </c>
      <c r="V238" s="5" t="s">
        <v>12</v>
      </c>
      <c r="W238" s="5" t="s">
        <v>12</v>
      </c>
      <c r="X238" s="5" t="s">
        <v>12</v>
      </c>
      <c r="Y238" s="5" t="s">
        <v>12</v>
      </c>
      <c r="AB238" s="22"/>
      <c r="AC238" s="73"/>
      <c r="AD238" s="5" t="s">
        <v>12</v>
      </c>
      <c r="AE238" s="5" t="s">
        <v>12</v>
      </c>
      <c r="AF238" s="5" t="s">
        <v>12</v>
      </c>
      <c r="AG238" s="5" t="s">
        <v>12</v>
      </c>
    </row>
    <row r="239" spans="1:35" ht="18" x14ac:dyDescent="0.35">
      <c r="A239" s="8">
        <v>237</v>
      </c>
      <c r="B239" s="150"/>
      <c r="C239" s="137"/>
      <c r="D239" s="137"/>
      <c r="E239" s="149"/>
      <c r="F239" s="1" t="s">
        <v>43</v>
      </c>
      <c r="G239" s="1" t="s">
        <v>1</v>
      </c>
      <c r="H239" s="1" t="s">
        <v>23</v>
      </c>
      <c r="I239" s="5" t="s">
        <v>12</v>
      </c>
      <c r="J239" s="5" t="s">
        <v>12</v>
      </c>
      <c r="K239" s="5" t="s">
        <v>12</v>
      </c>
      <c r="L239" s="4">
        <v>3.4899999999999998E-17</v>
      </c>
      <c r="M239" s="139">
        <v>129</v>
      </c>
      <c r="N239" s="139"/>
      <c r="O239" s="28" t="s">
        <v>207</v>
      </c>
      <c r="P239" s="5" t="s">
        <v>12</v>
      </c>
      <c r="Q239" s="5" t="s">
        <v>12</v>
      </c>
      <c r="R239" s="5" t="s">
        <v>12</v>
      </c>
      <c r="S239" s="5" t="s">
        <v>12</v>
      </c>
      <c r="V239" s="5" t="s">
        <v>12</v>
      </c>
      <c r="W239" s="5" t="s">
        <v>12</v>
      </c>
      <c r="X239" s="5" t="s">
        <v>12</v>
      </c>
      <c r="Y239" s="5" t="s">
        <v>12</v>
      </c>
      <c r="AB239" s="22"/>
      <c r="AC239" s="73"/>
      <c r="AD239" s="5" t="s">
        <v>12</v>
      </c>
      <c r="AE239" s="5" t="s">
        <v>12</v>
      </c>
      <c r="AF239" s="5" t="s">
        <v>12</v>
      </c>
      <c r="AG239" s="5" t="s">
        <v>12</v>
      </c>
    </row>
    <row r="240" spans="1:35" ht="18" x14ac:dyDescent="0.35">
      <c r="A240" s="8">
        <v>238</v>
      </c>
      <c r="B240" s="1" t="s">
        <v>43</v>
      </c>
      <c r="C240" s="1" t="s">
        <v>1</v>
      </c>
      <c r="D240" s="1" t="s">
        <v>14</v>
      </c>
      <c r="E240" s="2" t="s">
        <v>0</v>
      </c>
      <c r="F240" s="1" t="s">
        <v>80</v>
      </c>
      <c r="G240" s="1" t="s">
        <v>1</v>
      </c>
      <c r="H240" s="1" t="s">
        <v>23</v>
      </c>
      <c r="I240" s="5" t="s">
        <v>12</v>
      </c>
      <c r="J240" s="5" t="s">
        <v>12</v>
      </c>
      <c r="K240" s="5" t="s">
        <v>12</v>
      </c>
      <c r="L240" s="4">
        <f>0.0000000000274*($B$1/298)*EXP(-177000/(8.314*$B$1))</f>
        <v>1.2603481643136127E-29</v>
      </c>
      <c r="M240" s="139">
        <v>130</v>
      </c>
      <c r="N240" s="139"/>
      <c r="O240" s="9" t="s">
        <v>160</v>
      </c>
      <c r="P240" s="5" t="s">
        <v>12</v>
      </c>
      <c r="Q240" s="5" t="s">
        <v>12</v>
      </c>
      <c r="R240" s="5" t="s">
        <v>12</v>
      </c>
      <c r="S240" s="4">
        <f>0.000000000000893*($B$1/298)*EXP(-162000/(8.34*$B$1))</f>
        <v>1.7356638200253354E-29</v>
      </c>
      <c r="T240" s="80">
        <v>106</v>
      </c>
      <c r="U240" s="55" t="s">
        <v>247</v>
      </c>
      <c r="V240" s="5" t="s">
        <v>12</v>
      </c>
      <c r="W240" s="5" t="s">
        <v>12</v>
      </c>
      <c r="X240" s="5" t="s">
        <v>12</v>
      </c>
      <c r="Y240" s="5" t="s">
        <v>12</v>
      </c>
      <c r="AB240" s="22"/>
      <c r="AC240" s="73"/>
      <c r="AD240" s="5" t="s">
        <v>12</v>
      </c>
      <c r="AE240" s="5" t="s">
        <v>12</v>
      </c>
      <c r="AF240" s="5" t="s">
        <v>12</v>
      </c>
      <c r="AG240" s="5" t="s">
        <v>12</v>
      </c>
    </row>
    <row r="241" spans="1:33" ht="18.75" x14ac:dyDescent="0.35">
      <c r="A241" s="8">
        <v>239</v>
      </c>
      <c r="B241" s="1" t="s">
        <v>43</v>
      </c>
      <c r="C241" s="1" t="s">
        <v>1</v>
      </c>
      <c r="D241" s="1" t="s">
        <v>126</v>
      </c>
      <c r="E241" s="2" t="s">
        <v>0</v>
      </c>
      <c r="F241" s="1" t="s">
        <v>80</v>
      </c>
      <c r="G241" s="1" t="s">
        <v>1</v>
      </c>
      <c r="H241" s="1" t="s">
        <v>23</v>
      </c>
      <c r="I241" s="5" t="s">
        <v>12</v>
      </c>
      <c r="J241" s="5" t="s">
        <v>12</v>
      </c>
      <c r="K241" s="5" t="s">
        <v>12</v>
      </c>
      <c r="L241" s="12" t="s">
        <v>559</v>
      </c>
      <c r="M241" s="139" t="s">
        <v>562</v>
      </c>
      <c r="N241" s="139"/>
      <c r="O241" s="28" t="s">
        <v>207</v>
      </c>
      <c r="P241" s="5" t="s">
        <v>12</v>
      </c>
      <c r="Q241" s="5" t="s">
        <v>12</v>
      </c>
      <c r="R241" s="5" t="s">
        <v>12</v>
      </c>
      <c r="S241" s="5" t="s">
        <v>12</v>
      </c>
      <c r="V241" s="5" t="s">
        <v>12</v>
      </c>
      <c r="W241" s="5" t="s">
        <v>12</v>
      </c>
      <c r="X241" s="5" t="s">
        <v>12</v>
      </c>
      <c r="Y241" s="5" t="s">
        <v>12</v>
      </c>
      <c r="AB241" s="22"/>
      <c r="AC241" s="73"/>
      <c r="AD241" s="5" t="s">
        <v>12</v>
      </c>
      <c r="AE241" s="5" t="s">
        <v>12</v>
      </c>
      <c r="AF241" s="5" t="s">
        <v>12</v>
      </c>
      <c r="AG241" s="5" t="s">
        <v>12</v>
      </c>
    </row>
    <row r="242" spans="1:33" x14ac:dyDescent="0.25">
      <c r="A242" s="8">
        <v>240</v>
      </c>
      <c r="B242" s="150" t="s">
        <v>43</v>
      </c>
      <c r="C242" s="137" t="s">
        <v>1</v>
      </c>
      <c r="D242" s="137" t="s">
        <v>29</v>
      </c>
      <c r="E242" s="149" t="s">
        <v>0</v>
      </c>
      <c r="F242" s="1" t="s">
        <v>65</v>
      </c>
      <c r="G242" s="1" t="s">
        <v>1</v>
      </c>
      <c r="H242" s="1" t="s">
        <v>14</v>
      </c>
      <c r="I242" s="5" t="s">
        <v>12</v>
      </c>
      <c r="J242" s="5" t="s">
        <v>12</v>
      </c>
      <c r="K242" s="5" t="s">
        <v>12</v>
      </c>
      <c r="L242" s="4">
        <f>0.00000000093*($B$1/298)^-0.1*EXP(-293000/(8.314*$B$1))</f>
        <v>1.6668024843401679E-40</v>
      </c>
      <c r="M242" s="139">
        <v>77</v>
      </c>
      <c r="N242" s="139"/>
      <c r="O242" s="8" t="s">
        <v>357</v>
      </c>
      <c r="P242" s="5" t="s">
        <v>12</v>
      </c>
      <c r="Q242" s="5" t="s">
        <v>12</v>
      </c>
      <c r="R242" s="5" t="s">
        <v>12</v>
      </c>
      <c r="S242" s="5" t="s">
        <v>12</v>
      </c>
      <c r="V242" s="5" t="s">
        <v>12</v>
      </c>
      <c r="W242" s="5" t="s">
        <v>12</v>
      </c>
      <c r="X242" s="5" t="s">
        <v>12</v>
      </c>
      <c r="Y242" s="5" t="s">
        <v>12</v>
      </c>
      <c r="AB242" s="22"/>
      <c r="AC242" s="73"/>
      <c r="AD242" s="5" t="s">
        <v>12</v>
      </c>
      <c r="AE242" s="5" t="s">
        <v>12</v>
      </c>
      <c r="AF242" s="5" t="s">
        <v>12</v>
      </c>
      <c r="AG242" s="5" t="s">
        <v>12</v>
      </c>
    </row>
    <row r="243" spans="1:33" x14ac:dyDescent="0.25">
      <c r="A243" s="8">
        <v>241</v>
      </c>
      <c r="B243" s="150"/>
      <c r="C243" s="137"/>
      <c r="D243" s="137"/>
      <c r="E243" s="149"/>
      <c r="F243" s="1" t="s">
        <v>80</v>
      </c>
      <c r="G243" s="1" t="s">
        <v>1</v>
      </c>
      <c r="H243" s="1" t="s">
        <v>6</v>
      </c>
      <c r="I243" s="5" t="s">
        <v>12</v>
      </c>
      <c r="J243" s="5" t="s">
        <v>12</v>
      </c>
      <c r="K243" s="5" t="s">
        <v>12</v>
      </c>
      <c r="L243" s="4">
        <f>0.00000000036*($B$1/298)*EXP(-207000/(8.314*$B$1))</f>
        <v>1.1836172926926727E-31</v>
      </c>
      <c r="M243" s="139">
        <v>132</v>
      </c>
      <c r="N243" s="139"/>
      <c r="O243" s="8" t="s">
        <v>358</v>
      </c>
      <c r="P243" s="5" t="s">
        <v>12</v>
      </c>
      <c r="Q243" s="5" t="s">
        <v>12</v>
      </c>
      <c r="R243" s="5" t="s">
        <v>12</v>
      </c>
      <c r="S243" s="5" t="s">
        <v>12</v>
      </c>
      <c r="V243" s="5" t="s">
        <v>12</v>
      </c>
      <c r="W243" s="5" t="s">
        <v>12</v>
      </c>
      <c r="X243" s="5" t="s">
        <v>12</v>
      </c>
      <c r="Y243" s="5" t="s">
        <v>12</v>
      </c>
      <c r="AB243" s="22"/>
      <c r="AC243" s="73"/>
      <c r="AD243" s="5" t="s">
        <v>12</v>
      </c>
      <c r="AE243" s="5" t="s">
        <v>12</v>
      </c>
      <c r="AF243" s="5" t="s">
        <v>12</v>
      </c>
      <c r="AG243" s="5" t="s">
        <v>12</v>
      </c>
    </row>
    <row r="244" spans="1:33" ht="18" customHeight="1" x14ac:dyDescent="0.25">
      <c r="A244" s="8">
        <v>242</v>
      </c>
      <c r="B244" s="150" t="s">
        <v>52</v>
      </c>
      <c r="C244" s="137"/>
      <c r="D244" s="137"/>
      <c r="E244" s="2" t="s">
        <v>0</v>
      </c>
      <c r="F244" s="1" t="s">
        <v>43</v>
      </c>
      <c r="G244" s="1" t="s">
        <v>1</v>
      </c>
      <c r="H244" s="1" t="s">
        <v>6</v>
      </c>
      <c r="I244" s="5" t="s">
        <v>12</v>
      </c>
      <c r="J244" s="5" t="s">
        <v>12</v>
      </c>
      <c r="K244" s="5" t="s">
        <v>12</v>
      </c>
      <c r="L244" s="4">
        <f>0.00198*($B$1/298)^3.8*EXP(-210000/(8.314*$B$1))</f>
        <v>1.3298226071936243E-24</v>
      </c>
      <c r="M244" s="146">
        <v>106</v>
      </c>
      <c r="N244" s="146"/>
      <c r="O244" s="9" t="s">
        <v>345</v>
      </c>
      <c r="P244" s="5" t="s">
        <v>12</v>
      </c>
      <c r="Q244" s="5" t="s">
        <v>12</v>
      </c>
      <c r="R244" s="5" t="s">
        <v>12</v>
      </c>
      <c r="S244" s="5" t="s">
        <v>12</v>
      </c>
      <c r="V244" s="5" t="s">
        <v>12</v>
      </c>
      <c r="W244" s="5" t="s">
        <v>12</v>
      </c>
      <c r="X244" s="5" t="s">
        <v>12</v>
      </c>
      <c r="Y244" s="5" t="s">
        <v>12</v>
      </c>
      <c r="AD244" s="5" t="s">
        <v>12</v>
      </c>
      <c r="AE244" s="5" t="s">
        <v>12</v>
      </c>
      <c r="AF244" s="5" t="s">
        <v>12</v>
      </c>
      <c r="AG244" s="5" t="s">
        <v>12</v>
      </c>
    </row>
    <row r="245" spans="1:33" ht="18" customHeight="1" x14ac:dyDescent="0.25">
      <c r="A245" s="8">
        <v>243</v>
      </c>
      <c r="B245" s="150"/>
      <c r="C245" s="137"/>
      <c r="D245" s="137"/>
      <c r="E245" s="2" t="s">
        <v>0</v>
      </c>
      <c r="F245" s="1" t="s">
        <v>118</v>
      </c>
      <c r="G245" s="1"/>
      <c r="H245" s="1"/>
      <c r="I245" s="5" t="s">
        <v>12</v>
      </c>
      <c r="J245" s="5" t="s">
        <v>12</v>
      </c>
      <c r="K245" s="5" t="s">
        <v>12</v>
      </c>
      <c r="L245" s="4">
        <f>34000000000000*($B$1/298)^0.93*EXP(-199000/(8.314*$B$1))</f>
        <v>7.4414224267175274E-8</v>
      </c>
      <c r="M245" s="139">
        <v>133</v>
      </c>
      <c r="N245" s="139"/>
      <c r="O245" s="9" t="s">
        <v>359</v>
      </c>
      <c r="P245" s="5" t="s">
        <v>12</v>
      </c>
      <c r="Q245" s="5" t="s">
        <v>12</v>
      </c>
      <c r="R245" s="5" t="s">
        <v>12</v>
      </c>
      <c r="S245" s="5" t="s">
        <v>12</v>
      </c>
      <c r="V245" s="5" t="s">
        <v>12</v>
      </c>
      <c r="W245" s="5" t="s">
        <v>12</v>
      </c>
      <c r="X245" s="5" t="s">
        <v>12</v>
      </c>
      <c r="Y245" s="5" t="s">
        <v>12</v>
      </c>
      <c r="AD245" s="5" t="s">
        <v>12</v>
      </c>
      <c r="AE245" s="5" t="s">
        <v>12</v>
      </c>
      <c r="AF245" s="5" t="s">
        <v>12</v>
      </c>
      <c r="AG245" s="5" t="s">
        <v>12</v>
      </c>
    </row>
    <row r="246" spans="1:33" ht="18" x14ac:dyDescent="0.35">
      <c r="A246" s="8">
        <v>244</v>
      </c>
      <c r="B246" s="1" t="s">
        <v>52</v>
      </c>
      <c r="C246" s="1" t="s">
        <v>1</v>
      </c>
      <c r="D246" s="1" t="s">
        <v>52</v>
      </c>
      <c r="E246" s="2" t="s">
        <v>0</v>
      </c>
      <c r="F246" s="1" t="s">
        <v>117</v>
      </c>
      <c r="G246" s="1" t="s">
        <v>1</v>
      </c>
      <c r="H246" s="1" t="s">
        <v>32</v>
      </c>
      <c r="I246" s="5" t="s">
        <v>12</v>
      </c>
      <c r="J246" s="5" t="s">
        <v>12</v>
      </c>
      <c r="K246" s="5" t="s">
        <v>12</v>
      </c>
      <c r="L246" s="12" t="s">
        <v>564</v>
      </c>
      <c r="M246" s="139">
        <v>134</v>
      </c>
      <c r="N246" s="139"/>
      <c r="O246" s="19" t="s">
        <v>204</v>
      </c>
      <c r="P246" s="5" t="s">
        <v>12</v>
      </c>
      <c r="Q246" s="5" t="s">
        <v>12</v>
      </c>
      <c r="R246" s="5" t="s">
        <v>12</v>
      </c>
      <c r="S246" s="5" t="s">
        <v>12</v>
      </c>
      <c r="V246" s="5" t="s">
        <v>12</v>
      </c>
      <c r="W246" s="5" t="s">
        <v>12</v>
      </c>
      <c r="X246" s="5" t="s">
        <v>12</v>
      </c>
      <c r="Y246" s="5" t="s">
        <v>12</v>
      </c>
      <c r="AD246" s="5" t="s">
        <v>12</v>
      </c>
      <c r="AE246" s="5" t="s">
        <v>12</v>
      </c>
      <c r="AF246" s="5" t="s">
        <v>12</v>
      </c>
      <c r="AG246" s="5" t="s">
        <v>12</v>
      </c>
    </row>
    <row r="247" spans="1:33" ht="18" x14ac:dyDescent="0.35">
      <c r="A247" s="8">
        <v>245</v>
      </c>
      <c r="B247" s="1" t="s">
        <v>52</v>
      </c>
      <c r="C247" s="1" t="s">
        <v>1</v>
      </c>
      <c r="D247" s="1" t="s">
        <v>44</v>
      </c>
      <c r="E247" s="2" t="s">
        <v>0</v>
      </c>
      <c r="F247" s="1" t="s">
        <v>42</v>
      </c>
      <c r="G247" s="1" t="s">
        <v>1</v>
      </c>
      <c r="H247" s="1" t="s">
        <v>43</v>
      </c>
      <c r="I247" s="5" t="s">
        <v>12</v>
      </c>
      <c r="J247" s="5" t="s">
        <v>12</v>
      </c>
      <c r="K247" s="5" t="s">
        <v>12</v>
      </c>
      <c r="L247" s="12" t="s">
        <v>566</v>
      </c>
      <c r="M247" s="139">
        <v>135</v>
      </c>
      <c r="N247" s="139"/>
      <c r="O247" s="19" t="s">
        <v>139</v>
      </c>
      <c r="P247" s="5" t="s">
        <v>12</v>
      </c>
      <c r="Q247" s="5" t="s">
        <v>12</v>
      </c>
      <c r="R247" s="5" t="s">
        <v>12</v>
      </c>
      <c r="S247" s="4">
        <v>7.4399999999999999E-21</v>
      </c>
      <c r="T247" s="80">
        <v>136</v>
      </c>
      <c r="U247" s="55" t="s">
        <v>207</v>
      </c>
      <c r="V247" s="5" t="s">
        <v>12</v>
      </c>
      <c r="W247" s="5" t="s">
        <v>12</v>
      </c>
      <c r="X247" s="5" t="s">
        <v>12</v>
      </c>
      <c r="Y247" s="5" t="s">
        <v>12</v>
      </c>
      <c r="AD247" s="5" t="s">
        <v>12</v>
      </c>
      <c r="AE247" s="5" t="s">
        <v>12</v>
      </c>
      <c r="AF247" s="5" t="s">
        <v>12</v>
      </c>
      <c r="AG247" s="5" t="s">
        <v>12</v>
      </c>
    </row>
    <row r="248" spans="1:33" ht="18" x14ac:dyDescent="0.35">
      <c r="A248" s="8">
        <v>246</v>
      </c>
      <c r="B248" s="1" t="s">
        <v>52</v>
      </c>
      <c r="C248" s="1" t="s">
        <v>1</v>
      </c>
      <c r="D248" s="1" t="s">
        <v>41</v>
      </c>
      <c r="E248" s="2" t="s">
        <v>0</v>
      </c>
      <c r="F248" s="1" t="s">
        <v>42</v>
      </c>
      <c r="G248" s="1" t="s">
        <v>1</v>
      </c>
      <c r="H248" s="1" t="s">
        <v>44</v>
      </c>
      <c r="I248" s="5" t="s">
        <v>12</v>
      </c>
      <c r="J248" s="5" t="s">
        <v>12</v>
      </c>
      <c r="K248" s="5" t="s">
        <v>12</v>
      </c>
      <c r="L248" s="12" t="s">
        <v>569</v>
      </c>
      <c r="M248" s="139">
        <v>137</v>
      </c>
      <c r="N248" s="139"/>
      <c r="O248" s="19" t="s">
        <v>139</v>
      </c>
      <c r="P248" s="5" t="s">
        <v>12</v>
      </c>
      <c r="Q248" s="5" t="s">
        <v>12</v>
      </c>
      <c r="R248" s="5" t="s">
        <v>12</v>
      </c>
      <c r="S248" s="5" t="s">
        <v>12</v>
      </c>
      <c r="V248" s="5" t="s">
        <v>12</v>
      </c>
      <c r="W248" s="5" t="s">
        <v>12</v>
      </c>
      <c r="X248" s="5" t="s">
        <v>12</v>
      </c>
      <c r="Y248" s="5" t="s">
        <v>12</v>
      </c>
      <c r="AD248" s="5" t="s">
        <v>12</v>
      </c>
      <c r="AE248" s="5" t="s">
        <v>12</v>
      </c>
      <c r="AF248" s="5" t="s">
        <v>12</v>
      </c>
      <c r="AG248" s="5" t="s">
        <v>12</v>
      </c>
    </row>
    <row r="249" spans="1:33" ht="18" x14ac:dyDescent="0.35">
      <c r="A249" s="8">
        <v>247</v>
      </c>
      <c r="B249" s="1" t="s">
        <v>52</v>
      </c>
      <c r="C249" s="1" t="s">
        <v>1</v>
      </c>
      <c r="D249" s="1" t="s">
        <v>32</v>
      </c>
      <c r="E249" s="2" t="s">
        <v>0</v>
      </c>
      <c r="F249" s="1" t="s">
        <v>44</v>
      </c>
      <c r="G249" s="1" t="s">
        <v>1</v>
      </c>
      <c r="H249" s="1" t="s">
        <v>32</v>
      </c>
      <c r="I249" s="5" t="s">
        <v>12</v>
      </c>
      <c r="J249" s="5" t="s">
        <v>12</v>
      </c>
      <c r="K249" s="5" t="s">
        <v>12</v>
      </c>
      <c r="L249" s="4">
        <f>0.0000000000025*($B$1/298)*EXP(2160/(8.314*$B$1))</f>
        <v>7.040179357014444E-12</v>
      </c>
      <c r="M249" s="139">
        <v>75</v>
      </c>
      <c r="N249" s="139"/>
      <c r="O249" s="9" t="s">
        <v>354</v>
      </c>
      <c r="P249" s="5" t="s">
        <v>12</v>
      </c>
      <c r="Q249" s="5" t="s">
        <v>12</v>
      </c>
      <c r="R249" s="5" t="s">
        <v>12</v>
      </c>
      <c r="S249" s="5" t="s">
        <v>12</v>
      </c>
      <c r="V249" s="5" t="s">
        <v>12</v>
      </c>
      <c r="W249" s="5" t="s">
        <v>12</v>
      </c>
      <c r="X249" s="5" t="s">
        <v>12</v>
      </c>
      <c r="Y249" s="5" t="s">
        <v>12</v>
      </c>
      <c r="AD249" s="5" t="s">
        <v>12</v>
      </c>
      <c r="AE249" s="5" t="s">
        <v>12</v>
      </c>
      <c r="AF249" s="5" t="s">
        <v>12</v>
      </c>
      <c r="AG249" s="5" t="s">
        <v>12</v>
      </c>
    </row>
    <row r="250" spans="1:33" ht="18" x14ac:dyDescent="0.35">
      <c r="A250" s="8">
        <v>248</v>
      </c>
      <c r="B250" s="1" t="s">
        <v>52</v>
      </c>
      <c r="C250" s="1" t="s">
        <v>1</v>
      </c>
      <c r="D250" s="1" t="s">
        <v>14</v>
      </c>
      <c r="E250" s="2" t="s">
        <v>0</v>
      </c>
      <c r="F250" s="1" t="s">
        <v>44</v>
      </c>
      <c r="G250" s="1" t="s">
        <v>1</v>
      </c>
      <c r="H250" s="1" t="s">
        <v>6</v>
      </c>
      <c r="I250" s="5" t="s">
        <v>12</v>
      </c>
      <c r="J250" s="5" t="s">
        <v>12</v>
      </c>
      <c r="K250" s="5" t="s">
        <v>12</v>
      </c>
      <c r="L250" s="4">
        <f>0.0000000000201*($B$1/298)*EXP(-24940/(8.314*$B$1))</f>
        <v>8.1490243540092737E-14</v>
      </c>
      <c r="M250" s="146">
        <v>106</v>
      </c>
      <c r="N250" s="146"/>
      <c r="O250" s="9" t="s">
        <v>345</v>
      </c>
      <c r="P250" s="5" t="s">
        <v>12</v>
      </c>
      <c r="Q250" s="5" t="s">
        <v>12</v>
      </c>
      <c r="R250" s="5" t="s">
        <v>12</v>
      </c>
      <c r="S250" s="5" t="s">
        <v>12</v>
      </c>
      <c r="V250" s="5" t="s">
        <v>12</v>
      </c>
      <c r="W250" s="5" t="s">
        <v>12</v>
      </c>
      <c r="X250" s="5" t="s">
        <v>12</v>
      </c>
      <c r="Y250" s="5" t="s">
        <v>12</v>
      </c>
      <c r="AD250" s="5" t="s">
        <v>12</v>
      </c>
      <c r="AE250" s="5" t="s">
        <v>12</v>
      </c>
      <c r="AF250" s="5" t="s">
        <v>12</v>
      </c>
      <c r="AG250" s="5" t="s">
        <v>12</v>
      </c>
    </row>
    <row r="251" spans="1:33" ht="18" x14ac:dyDescent="0.35">
      <c r="A251" s="8">
        <v>249</v>
      </c>
      <c r="B251" s="150" t="s">
        <v>52</v>
      </c>
      <c r="C251" s="137" t="s">
        <v>1</v>
      </c>
      <c r="D251" s="137" t="s">
        <v>29</v>
      </c>
      <c r="E251" s="149" t="s">
        <v>0</v>
      </c>
      <c r="F251" s="1" t="s">
        <v>43</v>
      </c>
      <c r="G251" s="1" t="s">
        <v>1</v>
      </c>
      <c r="H251" s="1" t="s">
        <v>32</v>
      </c>
      <c r="I251" s="5" t="s">
        <v>12</v>
      </c>
      <c r="J251" s="5" t="s">
        <v>12</v>
      </c>
      <c r="K251" s="5" t="s">
        <v>12</v>
      </c>
      <c r="L251" s="4">
        <f>0.000000000000639*($B$1/298)^1.89*EXP(-16130/(8.314*$B$1))</f>
        <v>3.4342682494419492E-14</v>
      </c>
      <c r="M251" s="139">
        <v>138</v>
      </c>
      <c r="N251" s="139"/>
      <c r="O251" s="138" t="s">
        <v>360</v>
      </c>
      <c r="P251" s="5" t="s">
        <v>12</v>
      </c>
      <c r="Q251" s="5" t="s">
        <v>12</v>
      </c>
      <c r="R251" s="5" t="s">
        <v>12</v>
      </c>
      <c r="S251" s="5" t="s">
        <v>12</v>
      </c>
      <c r="V251" s="5" t="s">
        <v>12</v>
      </c>
      <c r="W251" s="5" t="s">
        <v>12</v>
      </c>
      <c r="X251" s="5" t="s">
        <v>12</v>
      </c>
      <c r="Y251" s="5" t="s">
        <v>12</v>
      </c>
      <c r="AD251" s="5" t="s">
        <v>12</v>
      </c>
      <c r="AE251" s="5" t="s">
        <v>12</v>
      </c>
      <c r="AF251" s="5" t="s">
        <v>12</v>
      </c>
      <c r="AG251" s="5" t="s">
        <v>12</v>
      </c>
    </row>
    <row r="252" spans="1:33" x14ac:dyDescent="0.25">
      <c r="A252" s="8">
        <v>250</v>
      </c>
      <c r="B252" s="150"/>
      <c r="C252" s="137"/>
      <c r="D252" s="137"/>
      <c r="E252" s="149"/>
      <c r="F252" s="1" t="s">
        <v>47</v>
      </c>
      <c r="G252" s="1" t="s">
        <v>1</v>
      </c>
      <c r="H252" s="1" t="s">
        <v>6</v>
      </c>
      <c r="I252" s="5" t="s">
        <v>12</v>
      </c>
      <c r="J252" s="5" t="s">
        <v>12</v>
      </c>
      <c r="K252" s="5" t="s">
        <v>12</v>
      </c>
      <c r="L252" s="4">
        <f>0.0000000000126*($B$1/298)^0.86*EXP(-20790/(8.314*$B$1))</f>
        <v>1.2948315512129456E-13</v>
      </c>
      <c r="M252" s="139"/>
      <c r="N252" s="139"/>
      <c r="O252" s="138"/>
      <c r="P252" s="5" t="s">
        <v>12</v>
      </c>
      <c r="Q252" s="5" t="s">
        <v>12</v>
      </c>
      <c r="R252" s="5" t="s">
        <v>12</v>
      </c>
      <c r="S252" s="5" t="s">
        <v>12</v>
      </c>
      <c r="V252" s="5" t="s">
        <v>12</v>
      </c>
      <c r="W252" s="5" t="s">
        <v>12</v>
      </c>
      <c r="X252" s="5" t="s">
        <v>12</v>
      </c>
      <c r="Y252" s="5" t="s">
        <v>12</v>
      </c>
      <c r="AD252" s="5" t="s">
        <v>12</v>
      </c>
      <c r="AE252" s="5" t="s">
        <v>12</v>
      </c>
      <c r="AF252" s="5" t="s">
        <v>12</v>
      </c>
      <c r="AG252" s="5" t="s">
        <v>12</v>
      </c>
    </row>
    <row r="253" spans="1:33" ht="18" x14ac:dyDescent="0.35">
      <c r="A253" s="8">
        <v>251</v>
      </c>
      <c r="B253" s="150"/>
      <c r="C253" s="137"/>
      <c r="D253" s="137"/>
      <c r="E253" s="149"/>
      <c r="F253" s="1" t="s">
        <v>44</v>
      </c>
      <c r="G253" s="1" t="s">
        <v>1</v>
      </c>
      <c r="H253" s="1" t="s">
        <v>31</v>
      </c>
      <c r="I253" s="5" t="s">
        <v>12</v>
      </c>
      <c r="J253" s="5" t="s">
        <v>12</v>
      </c>
      <c r="K253" s="5" t="s">
        <v>12</v>
      </c>
      <c r="L253" s="4">
        <f>0.00000000000227*($B$1/298)^1.55*EXP(-27690/(8.314*$B$1))</f>
        <v>6.2848756178837068E-15</v>
      </c>
      <c r="M253" s="139"/>
      <c r="N253" s="139"/>
      <c r="O253" s="138"/>
      <c r="P253" s="5" t="s">
        <v>12</v>
      </c>
      <c r="Q253" s="5" t="s">
        <v>12</v>
      </c>
      <c r="R253" s="5" t="s">
        <v>12</v>
      </c>
      <c r="S253" s="4">
        <f>0.0000000000201*($B$1/298)*EXP(-30760/(8.314*$B$1))</f>
        <v>1.9990072482541105E-14</v>
      </c>
      <c r="T253" s="80">
        <v>106</v>
      </c>
      <c r="U253" s="55" t="s">
        <v>243</v>
      </c>
      <c r="V253" s="5" t="s">
        <v>12</v>
      </c>
      <c r="W253" s="5" t="s">
        <v>12</v>
      </c>
      <c r="X253" s="5" t="s">
        <v>12</v>
      </c>
      <c r="Y253" s="5" t="s">
        <v>12</v>
      </c>
      <c r="AD253" s="5" t="s">
        <v>12</v>
      </c>
      <c r="AE253" s="5" t="s">
        <v>12</v>
      </c>
      <c r="AF253" s="5" t="s">
        <v>12</v>
      </c>
      <c r="AG253" s="5" t="s">
        <v>12</v>
      </c>
    </row>
    <row r="254" spans="1:33" ht="18" x14ac:dyDescent="0.35">
      <c r="A254" s="8">
        <v>252</v>
      </c>
      <c r="B254" s="1" t="s">
        <v>71</v>
      </c>
      <c r="C254" s="1" t="s">
        <v>1</v>
      </c>
      <c r="D254" s="1" t="s">
        <v>39</v>
      </c>
      <c r="E254" s="2" t="s">
        <v>0</v>
      </c>
      <c r="F254" s="1" t="s">
        <v>79</v>
      </c>
      <c r="G254" s="1" t="s">
        <v>1</v>
      </c>
      <c r="H254" s="1" t="s">
        <v>6</v>
      </c>
      <c r="I254" s="5" t="s">
        <v>12</v>
      </c>
      <c r="J254" s="5" t="s">
        <v>12</v>
      </c>
      <c r="K254" s="5" t="s">
        <v>12</v>
      </c>
      <c r="L254" s="4">
        <f>0.00000000000000387*($B$1/298)^2.28*EXP(-33340/(8.314*$B$1))</f>
        <v>3.9848497441944835E-18</v>
      </c>
      <c r="M254" s="139" t="s">
        <v>572</v>
      </c>
      <c r="N254" s="139"/>
      <c r="O254" s="9" t="s">
        <v>156</v>
      </c>
      <c r="P254" s="5" t="s">
        <v>12</v>
      </c>
      <c r="Q254" s="5" t="s">
        <v>12</v>
      </c>
      <c r="R254" s="5" t="s">
        <v>12</v>
      </c>
      <c r="S254" s="5" t="s">
        <v>12</v>
      </c>
      <c r="V254" s="5" t="s">
        <v>12</v>
      </c>
      <c r="W254" s="5" t="s">
        <v>12</v>
      </c>
      <c r="X254" s="5" t="s">
        <v>12</v>
      </c>
      <c r="Y254" s="5" t="s">
        <v>12</v>
      </c>
      <c r="AD254" s="5"/>
      <c r="AE254" s="5"/>
      <c r="AF254" s="5"/>
      <c r="AG254" s="5"/>
    </row>
    <row r="255" spans="1:33" ht="18" x14ac:dyDescent="0.35">
      <c r="A255" s="8">
        <v>253</v>
      </c>
      <c r="B255" s="150" t="s">
        <v>71</v>
      </c>
      <c r="C255" s="137" t="s">
        <v>1</v>
      </c>
      <c r="D255" s="137" t="s">
        <v>71</v>
      </c>
      <c r="E255" s="149" t="s">
        <v>0</v>
      </c>
      <c r="F255" s="1" t="s">
        <v>120</v>
      </c>
      <c r="G255" s="1" t="s">
        <v>1</v>
      </c>
      <c r="H255" s="1" t="s">
        <v>32</v>
      </c>
      <c r="I255" s="5" t="s">
        <v>12</v>
      </c>
      <c r="J255" s="5" t="s">
        <v>12</v>
      </c>
      <c r="K255" s="5" t="s">
        <v>12</v>
      </c>
      <c r="L255" s="4">
        <f>3.32E-24</f>
        <v>3.3200000000000002E-24</v>
      </c>
      <c r="M255" s="139">
        <v>139</v>
      </c>
      <c r="N255" s="139"/>
      <c r="O255" s="9" t="s">
        <v>342</v>
      </c>
      <c r="P255" s="5" t="s">
        <v>12</v>
      </c>
      <c r="Q255" s="5" t="s">
        <v>12</v>
      </c>
      <c r="R255" s="5" t="s">
        <v>12</v>
      </c>
      <c r="S255" s="5" t="s">
        <v>12</v>
      </c>
      <c r="V255" s="5" t="s">
        <v>12</v>
      </c>
      <c r="W255" s="5" t="s">
        <v>12</v>
      </c>
      <c r="X255" s="5" t="s">
        <v>12</v>
      </c>
      <c r="Y255" s="5" t="s">
        <v>12</v>
      </c>
      <c r="AD255" s="5" t="s">
        <v>12</v>
      </c>
      <c r="AE255" s="5" t="s">
        <v>12</v>
      </c>
      <c r="AF255" s="5" t="s">
        <v>12</v>
      </c>
      <c r="AG255" s="5" t="s">
        <v>12</v>
      </c>
    </row>
    <row r="256" spans="1:33" ht="18" x14ac:dyDescent="0.35">
      <c r="A256" s="8">
        <v>254</v>
      </c>
      <c r="B256" s="150"/>
      <c r="C256" s="137"/>
      <c r="D256" s="137"/>
      <c r="E256" s="149"/>
      <c r="F256" s="1" t="s">
        <v>117</v>
      </c>
      <c r="G256" s="1" t="s">
        <v>1</v>
      </c>
      <c r="H256" s="1" t="s">
        <v>32</v>
      </c>
      <c r="I256" s="5" t="s">
        <v>12</v>
      </c>
      <c r="J256" s="5" t="s">
        <v>12</v>
      </c>
      <c r="K256" s="5" t="s">
        <v>12</v>
      </c>
      <c r="L256" s="4">
        <f>0.000000000000000501*($B$1/298)^3.48*EXP(-55370/(8.314*$B$1))</f>
        <v>4.6797501503619617E-21</v>
      </c>
      <c r="M256" s="139">
        <v>140</v>
      </c>
      <c r="N256" s="139"/>
      <c r="O256" s="9" t="s">
        <v>182</v>
      </c>
      <c r="P256" s="5" t="s">
        <v>12</v>
      </c>
      <c r="Q256" s="5" t="s">
        <v>12</v>
      </c>
      <c r="R256" s="5" t="s">
        <v>12</v>
      </c>
      <c r="S256" s="5" t="s">
        <v>12</v>
      </c>
      <c r="V256" s="5" t="s">
        <v>12</v>
      </c>
      <c r="W256" s="5" t="s">
        <v>12</v>
      </c>
      <c r="X256" s="5" t="s">
        <v>12</v>
      </c>
      <c r="Y256" s="5" t="s">
        <v>12</v>
      </c>
      <c r="AD256" s="5" t="s">
        <v>12</v>
      </c>
      <c r="AE256" s="5" t="s">
        <v>12</v>
      </c>
      <c r="AF256" s="5" t="s">
        <v>12</v>
      </c>
      <c r="AG256" s="5" t="s">
        <v>12</v>
      </c>
    </row>
    <row r="257" spans="1:35" ht="18" x14ac:dyDescent="0.35">
      <c r="A257" s="8">
        <v>255</v>
      </c>
      <c r="B257" s="1" t="s">
        <v>71</v>
      </c>
      <c r="C257" s="1" t="s">
        <v>1</v>
      </c>
      <c r="D257" s="1" t="s">
        <v>25</v>
      </c>
      <c r="E257" s="2" t="s">
        <v>0</v>
      </c>
      <c r="F257" s="1" t="s">
        <v>70</v>
      </c>
      <c r="G257" s="1" t="s">
        <v>1</v>
      </c>
      <c r="H257" s="1" t="s">
        <v>32</v>
      </c>
      <c r="I257" s="5" t="s">
        <v>12</v>
      </c>
      <c r="J257" s="5" t="s">
        <v>12</v>
      </c>
      <c r="K257" s="5" t="s">
        <v>12</v>
      </c>
      <c r="L257" s="4">
        <f>0.00000000000000601*($B$1/298)^3.12*EXP(-48780/(8.314*$B$1))</f>
        <v>2.2906665107932131E-19</v>
      </c>
      <c r="M257" s="139">
        <v>52</v>
      </c>
      <c r="N257" s="139"/>
      <c r="O257" s="9" t="s">
        <v>174</v>
      </c>
      <c r="P257" s="5" t="s">
        <v>12</v>
      </c>
      <c r="Q257" s="5" t="s">
        <v>12</v>
      </c>
      <c r="R257" s="5" t="s">
        <v>12</v>
      </c>
      <c r="S257" s="5" t="s">
        <v>12</v>
      </c>
      <c r="V257" s="5" t="s">
        <v>12</v>
      </c>
      <c r="W257" s="5" t="s">
        <v>12</v>
      </c>
      <c r="X257" s="5" t="s">
        <v>12</v>
      </c>
      <c r="Y257" s="5" t="s">
        <v>12</v>
      </c>
      <c r="AD257" s="5"/>
      <c r="AE257" s="5"/>
      <c r="AF257" s="5"/>
      <c r="AG257" s="5"/>
    </row>
    <row r="258" spans="1:35" ht="18" x14ac:dyDescent="0.35">
      <c r="A258" s="8">
        <v>256</v>
      </c>
      <c r="B258" s="1" t="s">
        <v>71</v>
      </c>
      <c r="C258" s="1" t="s">
        <v>1</v>
      </c>
      <c r="D258" s="1" t="s">
        <v>6</v>
      </c>
      <c r="E258" s="2" t="s">
        <v>0</v>
      </c>
      <c r="F258" s="1" t="s">
        <v>44</v>
      </c>
      <c r="G258" s="1" t="s">
        <v>1</v>
      </c>
      <c r="H258" s="1" t="s">
        <v>32</v>
      </c>
      <c r="I258" s="5" t="s">
        <v>12</v>
      </c>
      <c r="J258" s="5" t="s">
        <v>12</v>
      </c>
      <c r="K258" s="5" t="s">
        <v>12</v>
      </c>
      <c r="L258" s="4">
        <f>0.00000000000271*($B$1/298)*EXP(2160/(8.314*$B$1))</f>
        <v>7.631554423003658E-12</v>
      </c>
      <c r="M258" s="139">
        <v>111</v>
      </c>
      <c r="N258" s="139"/>
      <c r="O258" s="9" t="s">
        <v>363</v>
      </c>
      <c r="P258" s="5" t="s">
        <v>12</v>
      </c>
      <c r="Q258" s="5" t="s">
        <v>12</v>
      </c>
      <c r="R258" s="5" t="s">
        <v>12</v>
      </c>
      <c r="S258" s="5" t="s">
        <v>12</v>
      </c>
      <c r="V258" s="5" t="s">
        <v>12</v>
      </c>
      <c r="W258" s="5" t="s">
        <v>12</v>
      </c>
      <c r="X258" s="5" t="s">
        <v>12</v>
      </c>
      <c r="Y258" s="4">
        <f>0.0000000000138*($B$1/298)*EXP(-175000/(8.314*$B$1))</f>
        <v>1.0288241136548146E-29</v>
      </c>
      <c r="Z258" s="139">
        <v>141</v>
      </c>
      <c r="AA258" s="139"/>
      <c r="AB258" s="15" t="s">
        <v>184</v>
      </c>
      <c r="AD258" s="5" t="s">
        <v>12</v>
      </c>
      <c r="AE258" s="5" t="s">
        <v>12</v>
      </c>
      <c r="AF258" s="5" t="s">
        <v>12</v>
      </c>
      <c r="AG258" s="5" t="s">
        <v>12</v>
      </c>
    </row>
    <row r="259" spans="1:35" ht="18" x14ac:dyDescent="0.35">
      <c r="A259" s="8">
        <v>257</v>
      </c>
      <c r="B259" s="1" t="s">
        <v>69</v>
      </c>
      <c r="C259" s="1" t="s">
        <v>1</v>
      </c>
      <c r="D259" s="1" t="s">
        <v>25</v>
      </c>
      <c r="E259" s="2" t="s">
        <v>0</v>
      </c>
      <c r="F259" s="1" t="s">
        <v>70</v>
      </c>
      <c r="G259" s="1" t="s">
        <v>1</v>
      </c>
      <c r="H259" s="1" t="s">
        <v>32</v>
      </c>
      <c r="I259" s="5" t="s">
        <v>12</v>
      </c>
      <c r="J259" s="5" t="s">
        <v>12</v>
      </c>
      <c r="K259" s="5" t="s">
        <v>12</v>
      </c>
      <c r="L259" s="4">
        <f>0.00000000000000517*($B$1/298)^3.02*EXP(-42590/(8.314*$B$1))</f>
        <v>8.3435982030015142E-19</v>
      </c>
      <c r="M259" s="139">
        <v>52</v>
      </c>
      <c r="N259" s="139"/>
      <c r="O259" s="9" t="s">
        <v>174</v>
      </c>
      <c r="P259" s="5" t="s">
        <v>12</v>
      </c>
      <c r="Q259" s="5" t="s">
        <v>12</v>
      </c>
      <c r="R259" s="5" t="s">
        <v>12</v>
      </c>
      <c r="S259" s="5" t="s">
        <v>12</v>
      </c>
      <c r="V259" s="5" t="s">
        <v>12</v>
      </c>
      <c r="W259" s="5" t="s">
        <v>12</v>
      </c>
      <c r="X259" s="5" t="s">
        <v>12</v>
      </c>
      <c r="Y259" s="5" t="s">
        <v>12</v>
      </c>
      <c r="AD259" s="5" t="s">
        <v>12</v>
      </c>
      <c r="AE259" s="5" t="s">
        <v>12</v>
      </c>
      <c r="AF259" s="5" t="s">
        <v>12</v>
      </c>
      <c r="AG259" s="5" t="s">
        <v>12</v>
      </c>
    </row>
    <row r="260" spans="1:35" ht="18" x14ac:dyDescent="0.35">
      <c r="A260" s="8">
        <v>258</v>
      </c>
      <c r="B260" s="150" t="s">
        <v>69</v>
      </c>
      <c r="C260" s="137" t="s">
        <v>1</v>
      </c>
      <c r="D260" s="137" t="s">
        <v>71</v>
      </c>
      <c r="E260" s="149" t="s">
        <v>0</v>
      </c>
      <c r="F260" s="1" t="s">
        <v>120</v>
      </c>
      <c r="G260" s="1" t="s">
        <v>1</v>
      </c>
      <c r="H260" s="1" t="s">
        <v>32</v>
      </c>
      <c r="I260" s="5" t="s">
        <v>12</v>
      </c>
      <c r="J260" s="5" t="s">
        <v>12</v>
      </c>
      <c r="K260" s="5" t="s">
        <v>12</v>
      </c>
      <c r="L260" s="4">
        <v>1.5900000000000001E-23</v>
      </c>
      <c r="M260" s="139">
        <v>139</v>
      </c>
      <c r="N260" s="139"/>
      <c r="O260" s="9" t="s">
        <v>342</v>
      </c>
      <c r="P260" s="5" t="s">
        <v>12</v>
      </c>
      <c r="Q260" s="5" t="s">
        <v>12</v>
      </c>
      <c r="R260" s="5" t="s">
        <v>12</v>
      </c>
      <c r="S260" s="5" t="s">
        <v>12</v>
      </c>
      <c r="V260" s="5" t="s">
        <v>12</v>
      </c>
      <c r="W260" s="5" t="s">
        <v>12</v>
      </c>
      <c r="X260" s="5" t="s">
        <v>12</v>
      </c>
      <c r="Y260" s="5" t="s">
        <v>12</v>
      </c>
      <c r="AD260" s="5" t="s">
        <v>12</v>
      </c>
      <c r="AE260" s="5" t="s">
        <v>12</v>
      </c>
      <c r="AF260" s="5" t="s">
        <v>12</v>
      </c>
      <c r="AG260" s="5" t="s">
        <v>12</v>
      </c>
    </row>
    <row r="261" spans="1:35" ht="18" x14ac:dyDescent="0.35">
      <c r="A261" s="8">
        <v>259</v>
      </c>
      <c r="B261" s="150"/>
      <c r="C261" s="137"/>
      <c r="D261" s="137"/>
      <c r="E261" s="149"/>
      <c r="F261" s="1" t="s">
        <v>117</v>
      </c>
      <c r="G261" s="1" t="s">
        <v>1</v>
      </c>
      <c r="H261" s="1" t="s">
        <v>32</v>
      </c>
      <c r="I261" s="5" t="s">
        <v>12</v>
      </c>
      <c r="J261" s="5" t="s">
        <v>12</v>
      </c>
      <c r="K261" s="5" t="s">
        <v>12</v>
      </c>
      <c r="L261" s="4">
        <f>0.000000000000000425*($B$1/298)^3.65*EXP(-48810/(8.314*$B$1))</f>
        <v>2.1115275140805416E-20</v>
      </c>
      <c r="M261" s="139">
        <v>140</v>
      </c>
      <c r="N261" s="139"/>
      <c r="O261" s="138" t="s">
        <v>182</v>
      </c>
      <c r="P261" s="5" t="s">
        <v>12</v>
      </c>
      <c r="Q261" s="5" t="s">
        <v>12</v>
      </c>
      <c r="R261" s="5" t="s">
        <v>12</v>
      </c>
      <c r="S261" s="5" t="s">
        <v>12</v>
      </c>
      <c r="V261" s="5" t="s">
        <v>12</v>
      </c>
      <c r="W261" s="5" t="s">
        <v>12</v>
      </c>
      <c r="X261" s="5" t="s">
        <v>12</v>
      </c>
      <c r="Y261" s="5" t="s">
        <v>12</v>
      </c>
      <c r="AD261" s="5" t="s">
        <v>12</v>
      </c>
      <c r="AE261" s="5" t="s">
        <v>12</v>
      </c>
      <c r="AF261" s="5" t="s">
        <v>12</v>
      </c>
      <c r="AG261" s="5" t="s">
        <v>12</v>
      </c>
    </row>
    <row r="262" spans="1:35" ht="18" x14ac:dyDescent="0.35">
      <c r="A262" s="8">
        <v>260</v>
      </c>
      <c r="B262" s="1" t="s">
        <v>69</v>
      </c>
      <c r="C262" s="1" t="s">
        <v>1</v>
      </c>
      <c r="D262" s="1" t="s">
        <v>69</v>
      </c>
      <c r="E262" s="2" t="s">
        <v>0</v>
      </c>
      <c r="F262" s="1" t="s">
        <v>117</v>
      </c>
      <c r="G262" s="1" t="s">
        <v>1</v>
      </c>
      <c r="H262" s="1" t="s">
        <v>32</v>
      </c>
      <c r="I262" s="5" t="s">
        <v>12</v>
      </c>
      <c r="J262" s="5" t="s">
        <v>12</v>
      </c>
      <c r="K262" s="5" t="s">
        <v>12</v>
      </c>
      <c r="L262" s="4">
        <f>0.000000000000000272*($B$1/298)^3.36*EXP(-56210/(8.314*$B$1))</f>
        <v>1.9502635675215881E-21</v>
      </c>
      <c r="M262" s="139"/>
      <c r="N262" s="139"/>
      <c r="O262" s="138"/>
      <c r="P262" s="5" t="s">
        <v>12</v>
      </c>
      <c r="Q262" s="5" t="s">
        <v>12</v>
      </c>
      <c r="R262" s="5" t="s">
        <v>12</v>
      </c>
      <c r="S262" s="5" t="s">
        <v>12</v>
      </c>
      <c r="V262" s="5" t="s">
        <v>12</v>
      </c>
      <c r="W262" s="5" t="s">
        <v>12</v>
      </c>
      <c r="X262" s="5" t="s">
        <v>12</v>
      </c>
      <c r="Y262" s="5" t="s">
        <v>12</v>
      </c>
      <c r="AD262" s="5" t="s">
        <v>12</v>
      </c>
      <c r="AE262" s="5" t="s">
        <v>12</v>
      </c>
      <c r="AF262" s="5" t="s">
        <v>12</v>
      </c>
      <c r="AG262" s="5" t="s">
        <v>12</v>
      </c>
    </row>
    <row r="263" spans="1:35" ht="18" x14ac:dyDescent="0.35">
      <c r="A263" s="8">
        <v>261</v>
      </c>
      <c r="B263" s="1" t="s">
        <v>44</v>
      </c>
      <c r="E263" s="2" t="s">
        <v>0</v>
      </c>
      <c r="F263" s="1" t="s">
        <v>43</v>
      </c>
      <c r="G263" s="1" t="s">
        <v>1</v>
      </c>
      <c r="H263" s="1" t="s">
        <v>14</v>
      </c>
      <c r="I263" s="5" t="s">
        <v>12</v>
      </c>
      <c r="J263" s="5" t="s">
        <v>12</v>
      </c>
      <c r="K263" s="5" t="s">
        <v>12</v>
      </c>
      <c r="L263" s="12">
        <f>0.000188*($B$1/298)^-3.37*EXP(-313000/(8.314*$B$1))</f>
        <v>5.0194693112932491E-38</v>
      </c>
      <c r="M263" s="146">
        <v>106</v>
      </c>
      <c r="N263" s="146"/>
      <c r="O263" s="9" t="s">
        <v>361</v>
      </c>
      <c r="P263" s="5" t="s">
        <v>12</v>
      </c>
      <c r="Q263" s="5" t="s">
        <v>12</v>
      </c>
      <c r="R263" s="5" t="s">
        <v>12</v>
      </c>
      <c r="S263" s="5" t="s">
        <v>12</v>
      </c>
      <c r="V263" s="5" t="s">
        <v>12</v>
      </c>
      <c r="W263" s="5" t="s">
        <v>12</v>
      </c>
      <c r="X263" s="5" t="s">
        <v>12</v>
      </c>
      <c r="Y263" s="4">
        <f>0.0000000000359*($B$1/298)*EXP(-449/(8.314*$B$1))</f>
        <v>5.3846280924439331E-11</v>
      </c>
      <c r="Z263" s="139">
        <v>142</v>
      </c>
      <c r="AA263" s="139"/>
      <c r="AB263" s="26" t="s">
        <v>142</v>
      </c>
      <c r="AD263" s="5" t="s">
        <v>12</v>
      </c>
      <c r="AE263" s="5" t="s">
        <v>12</v>
      </c>
      <c r="AF263" s="5" t="s">
        <v>12</v>
      </c>
      <c r="AG263" s="4">
        <f>0.0000000000301*($B$1/298)^0.3</f>
        <v>3.5116373274055229E-11</v>
      </c>
      <c r="AH263" s="81">
        <v>111</v>
      </c>
      <c r="AI263" s="8" t="s">
        <v>248</v>
      </c>
    </row>
    <row r="264" spans="1:35" ht="18" x14ac:dyDescent="0.35">
      <c r="A264" s="8">
        <v>262</v>
      </c>
      <c r="B264" s="1" t="s">
        <v>44</v>
      </c>
      <c r="C264" s="1" t="s">
        <v>1</v>
      </c>
      <c r="D264" s="1" t="s">
        <v>24</v>
      </c>
      <c r="E264" s="2" t="s">
        <v>0</v>
      </c>
      <c r="F264" s="1" t="s">
        <v>68</v>
      </c>
      <c r="I264" s="5" t="s">
        <v>12</v>
      </c>
      <c r="J264" s="5" t="s">
        <v>12</v>
      </c>
      <c r="K264" s="5" t="s">
        <v>12</v>
      </c>
      <c r="L264" s="4">
        <f>0.0000000001*($B$1/298)^-1</f>
        <v>5.9821338954130286E-11</v>
      </c>
      <c r="M264" s="139">
        <v>20</v>
      </c>
      <c r="N264" s="139"/>
      <c r="O264" s="19" t="s">
        <v>265</v>
      </c>
      <c r="P264" s="5" t="s">
        <v>12</v>
      </c>
      <c r="Q264" s="5" t="s">
        <v>12</v>
      </c>
      <c r="R264" s="5" t="s">
        <v>12</v>
      </c>
      <c r="S264" s="5" t="s">
        <v>12</v>
      </c>
      <c r="V264" s="5" t="s">
        <v>12</v>
      </c>
      <c r="W264" s="5" t="s">
        <v>12</v>
      </c>
      <c r="X264" s="5" t="s">
        <v>12</v>
      </c>
      <c r="Y264" s="5" t="s">
        <v>12</v>
      </c>
      <c r="AD264" s="5" t="s">
        <v>12</v>
      </c>
      <c r="AE264" s="5" t="s">
        <v>12</v>
      </c>
      <c r="AF264" s="5" t="s">
        <v>12</v>
      </c>
      <c r="AG264" s="5" t="s">
        <v>12</v>
      </c>
    </row>
    <row r="265" spans="1:35" ht="18" x14ac:dyDescent="0.35">
      <c r="A265" s="8">
        <v>263</v>
      </c>
      <c r="B265" s="150" t="s">
        <v>44</v>
      </c>
      <c r="C265" s="137" t="s">
        <v>1</v>
      </c>
      <c r="D265" s="137" t="s">
        <v>47</v>
      </c>
      <c r="E265" s="149" t="s">
        <v>0</v>
      </c>
      <c r="F265" s="1" t="s">
        <v>52</v>
      </c>
      <c r="G265" s="1" t="s">
        <v>1</v>
      </c>
      <c r="H265" s="1" t="s">
        <v>43</v>
      </c>
      <c r="I265" s="5" t="s">
        <v>12</v>
      </c>
      <c r="J265" s="5" t="s">
        <v>12</v>
      </c>
      <c r="K265" s="5" t="s">
        <v>12</v>
      </c>
      <c r="L265" s="4">
        <f>0.000000000001*($B$1/298)*EXP(-8310/(8.314*$B$1))</f>
        <v>2.2477532621065166E-13</v>
      </c>
      <c r="M265" s="146">
        <v>106</v>
      </c>
      <c r="N265" s="146"/>
      <c r="O265" s="19" t="s">
        <v>345</v>
      </c>
      <c r="P265" s="5" t="s">
        <v>12</v>
      </c>
      <c r="Q265" s="5" t="s">
        <v>12</v>
      </c>
      <c r="R265" s="5" t="s">
        <v>12</v>
      </c>
      <c r="S265" s="5" t="s">
        <v>12</v>
      </c>
      <c r="V265" s="5" t="s">
        <v>12</v>
      </c>
      <c r="W265" s="5" t="s">
        <v>12</v>
      </c>
      <c r="X265" s="5" t="s">
        <v>12</v>
      </c>
      <c r="Y265" s="5" t="s">
        <v>12</v>
      </c>
      <c r="AD265" s="5" t="s">
        <v>12</v>
      </c>
      <c r="AE265" s="5" t="s">
        <v>12</v>
      </c>
      <c r="AF265" s="5" t="s">
        <v>12</v>
      </c>
      <c r="AG265" s="5" t="s">
        <v>12</v>
      </c>
    </row>
    <row r="266" spans="1:35" x14ac:dyDescent="0.25">
      <c r="A266" s="8">
        <v>264</v>
      </c>
      <c r="B266" s="150"/>
      <c r="C266" s="137"/>
      <c r="D266" s="137"/>
      <c r="E266" s="149"/>
      <c r="F266" s="1" t="s">
        <v>71</v>
      </c>
      <c r="G266" s="1" t="s">
        <v>1</v>
      </c>
      <c r="H266" s="1" t="s">
        <v>43</v>
      </c>
      <c r="I266" s="5" t="s">
        <v>12</v>
      </c>
      <c r="J266" s="5" t="s">
        <v>12</v>
      </c>
      <c r="K266" s="5" t="s">
        <v>12</v>
      </c>
      <c r="L266" s="4">
        <f>4.15E-37*($B$1/298)^2.64*EXP(-16910/(8.314*$B$1))</f>
        <v>2.7161124473096668E-38</v>
      </c>
      <c r="M266" s="139">
        <v>119</v>
      </c>
      <c r="N266" s="139"/>
      <c r="O266" s="9" t="s">
        <v>182</v>
      </c>
      <c r="P266" s="5" t="s">
        <v>12</v>
      </c>
      <c r="Q266" s="5" t="s">
        <v>12</v>
      </c>
      <c r="R266" s="5" t="s">
        <v>12</v>
      </c>
      <c r="S266" s="5" t="s">
        <v>12</v>
      </c>
      <c r="V266" s="5" t="s">
        <v>12</v>
      </c>
      <c r="W266" s="5" t="s">
        <v>12</v>
      </c>
      <c r="X266" s="5" t="s">
        <v>12</v>
      </c>
      <c r="Y266" s="5" t="s">
        <v>12</v>
      </c>
      <c r="AD266" s="5" t="s">
        <v>12</v>
      </c>
      <c r="AE266" s="5" t="s">
        <v>12</v>
      </c>
      <c r="AF266" s="5" t="s">
        <v>12</v>
      </c>
      <c r="AG266" s="5" t="s">
        <v>12</v>
      </c>
    </row>
    <row r="267" spans="1:35" ht="18" x14ac:dyDescent="0.35">
      <c r="A267" s="8">
        <v>265</v>
      </c>
      <c r="B267" s="1" t="s">
        <v>44</v>
      </c>
      <c r="C267" s="1" t="s">
        <v>1</v>
      </c>
      <c r="D267" s="1" t="s">
        <v>69</v>
      </c>
      <c r="E267" s="2" t="s">
        <v>0</v>
      </c>
      <c r="F267" s="1" t="s">
        <v>42</v>
      </c>
      <c r="G267" s="1" t="s">
        <v>1</v>
      </c>
      <c r="H267" s="1" t="s">
        <v>43</v>
      </c>
      <c r="I267" s="5" t="s">
        <v>12</v>
      </c>
      <c r="J267" s="5" t="s">
        <v>12</v>
      </c>
      <c r="K267" s="5" t="s">
        <v>12</v>
      </c>
      <c r="L267" s="4">
        <f>200*$B$1^3.28*EXP(-15445/$B$1)</f>
        <v>4.821626149784943E-3</v>
      </c>
      <c r="M267" s="139">
        <v>52</v>
      </c>
      <c r="N267" s="139"/>
      <c r="O267" s="138" t="s">
        <v>156</v>
      </c>
      <c r="P267" s="5" t="s">
        <v>12</v>
      </c>
      <c r="Q267" s="5" t="s">
        <v>12</v>
      </c>
      <c r="R267" s="5" t="s">
        <v>12</v>
      </c>
      <c r="S267" s="5" t="s">
        <v>12</v>
      </c>
      <c r="V267" s="5" t="s">
        <v>12</v>
      </c>
      <c r="W267" s="5" t="s">
        <v>12</v>
      </c>
      <c r="X267" s="5" t="s">
        <v>12</v>
      </c>
      <c r="Y267" s="5" t="s">
        <v>12</v>
      </c>
      <c r="AD267" s="5" t="s">
        <v>12</v>
      </c>
      <c r="AE267" s="5" t="s">
        <v>12</v>
      </c>
      <c r="AF267" s="5" t="s">
        <v>12</v>
      </c>
      <c r="AG267" s="5" t="s">
        <v>12</v>
      </c>
    </row>
    <row r="268" spans="1:35" ht="18" x14ac:dyDescent="0.35">
      <c r="A268" s="8">
        <v>266</v>
      </c>
      <c r="B268" s="1" t="s">
        <v>44</v>
      </c>
      <c r="C268" s="1" t="s">
        <v>1</v>
      </c>
      <c r="D268" s="1" t="s">
        <v>71</v>
      </c>
      <c r="E268" s="2" t="s">
        <v>0</v>
      </c>
      <c r="F268" s="1" t="s">
        <v>42</v>
      </c>
      <c r="G268" s="1" t="s">
        <v>1</v>
      </c>
      <c r="H268" s="1" t="s">
        <v>43</v>
      </c>
      <c r="I268" s="5" t="s">
        <v>12</v>
      </c>
      <c r="J268" s="5" t="s">
        <v>12</v>
      </c>
      <c r="K268" s="5" t="s">
        <v>12</v>
      </c>
      <c r="L268" s="4">
        <f>303*$B$1^3.33*EXP(-16427/$B$1)</f>
        <v>1.3878807735996162E-3</v>
      </c>
      <c r="M268" s="139"/>
      <c r="N268" s="139"/>
      <c r="O268" s="138"/>
      <c r="P268" s="5" t="s">
        <v>12</v>
      </c>
      <c r="Q268" s="5" t="s">
        <v>12</v>
      </c>
      <c r="R268" s="5" t="s">
        <v>12</v>
      </c>
      <c r="S268" s="5" t="s">
        <v>12</v>
      </c>
      <c r="V268" s="5" t="s">
        <v>12</v>
      </c>
      <c r="W268" s="5" t="s">
        <v>12</v>
      </c>
      <c r="X268" s="5" t="s">
        <v>12</v>
      </c>
      <c r="Y268" s="5" t="s">
        <v>12</v>
      </c>
      <c r="AD268" s="5" t="s">
        <v>12</v>
      </c>
      <c r="AE268" s="5" t="s">
        <v>12</v>
      </c>
      <c r="AF268" s="5" t="s">
        <v>12</v>
      </c>
      <c r="AG268" s="5" t="s">
        <v>12</v>
      </c>
    </row>
    <row r="269" spans="1:35" ht="18" x14ac:dyDescent="0.35">
      <c r="A269" s="8">
        <v>267</v>
      </c>
      <c r="B269" s="150" t="s">
        <v>44</v>
      </c>
      <c r="C269" s="137" t="s">
        <v>1</v>
      </c>
      <c r="D269" s="137" t="s">
        <v>44</v>
      </c>
      <c r="E269" s="149" t="s">
        <v>0</v>
      </c>
      <c r="F269" s="1" t="s">
        <v>127</v>
      </c>
      <c r="G269" s="1"/>
      <c r="H269" s="1"/>
      <c r="I269" s="5" t="s">
        <v>12</v>
      </c>
      <c r="J269" s="5" t="s">
        <v>12</v>
      </c>
      <c r="K269" s="5" t="s">
        <v>12</v>
      </c>
      <c r="L269" s="12">
        <f>1.4E-33*($B$1/298)^-3.8</f>
        <v>1.986924328733282E-34</v>
      </c>
      <c r="M269" s="139">
        <v>111</v>
      </c>
      <c r="N269" s="139"/>
      <c r="O269" s="9" t="s">
        <v>362</v>
      </c>
      <c r="P269" s="5" t="s">
        <v>12</v>
      </c>
      <c r="Q269" s="5" t="s">
        <v>12</v>
      </c>
      <c r="R269" s="5" t="s">
        <v>12</v>
      </c>
      <c r="S269" s="5" t="s">
        <v>12</v>
      </c>
      <c r="V269" s="5" t="s">
        <v>12</v>
      </c>
      <c r="W269" s="5" t="s">
        <v>12</v>
      </c>
      <c r="X269" s="5" t="s">
        <v>12</v>
      </c>
      <c r="Y269" s="5" t="s">
        <v>12</v>
      </c>
      <c r="AD269" s="5" t="s">
        <v>12</v>
      </c>
      <c r="AE269" s="5" t="s">
        <v>12</v>
      </c>
      <c r="AF269" s="5" t="s">
        <v>12</v>
      </c>
      <c r="AG269" s="5" t="s">
        <v>12</v>
      </c>
    </row>
    <row r="270" spans="1:35" ht="18" x14ac:dyDescent="0.35">
      <c r="A270" s="8">
        <v>268</v>
      </c>
      <c r="B270" s="150"/>
      <c r="C270" s="137"/>
      <c r="D270" s="137"/>
      <c r="E270" s="149"/>
      <c r="F270" s="1" t="s">
        <v>41</v>
      </c>
      <c r="G270" s="1" t="s">
        <v>1</v>
      </c>
      <c r="H270" s="1" t="s">
        <v>43</v>
      </c>
      <c r="I270" s="5" t="s">
        <v>12</v>
      </c>
      <c r="J270" s="5" t="s">
        <v>12</v>
      </c>
      <c r="K270" s="5" t="s">
        <v>12</v>
      </c>
      <c r="L270" s="12">
        <f>0.00000000000102*($B$1/298)^0.73*EXP(-87300/(8.314*$B$1))</f>
        <v>1.0402231003067923E-21</v>
      </c>
      <c r="M270" s="139">
        <v>106</v>
      </c>
      <c r="N270" s="139"/>
      <c r="O270" s="138" t="s">
        <v>345</v>
      </c>
      <c r="P270" s="5" t="s">
        <v>12</v>
      </c>
      <c r="Q270" s="5" t="s">
        <v>12</v>
      </c>
      <c r="R270" s="5" t="s">
        <v>12</v>
      </c>
      <c r="S270" s="5" t="s">
        <v>12</v>
      </c>
      <c r="V270" s="5" t="s">
        <v>12</v>
      </c>
      <c r="W270" s="5" t="s">
        <v>12</v>
      </c>
      <c r="X270" s="5" t="s">
        <v>12</v>
      </c>
      <c r="Y270" s="5" t="s">
        <v>12</v>
      </c>
      <c r="AD270" s="5" t="s">
        <v>12</v>
      </c>
      <c r="AE270" s="5" t="s">
        <v>12</v>
      </c>
      <c r="AF270" s="5" t="s">
        <v>12</v>
      </c>
      <c r="AG270" s="5" t="s">
        <v>12</v>
      </c>
    </row>
    <row r="271" spans="1:35" ht="18" x14ac:dyDescent="0.35">
      <c r="A271" s="8">
        <v>269</v>
      </c>
      <c r="B271" s="150"/>
      <c r="C271" s="137"/>
      <c r="D271" s="137"/>
      <c r="E271" s="149"/>
      <c r="F271" s="1" t="s">
        <v>128</v>
      </c>
      <c r="G271" s="1" t="s">
        <v>1</v>
      </c>
      <c r="H271" s="1" t="s">
        <v>23</v>
      </c>
      <c r="I271" s="5" t="s">
        <v>12</v>
      </c>
      <c r="J271" s="5" t="s">
        <v>12</v>
      </c>
      <c r="K271" s="5" t="s">
        <v>12</v>
      </c>
      <c r="L271" s="12">
        <f>0.00000000000271*($B$1/298)*EXP(-109000/(8.314*$B$1))</f>
        <v>1.6836813921979382E-23</v>
      </c>
      <c r="M271" s="139"/>
      <c r="N271" s="139"/>
      <c r="O271" s="138"/>
      <c r="P271" s="5" t="s">
        <v>12</v>
      </c>
      <c r="Q271" s="5" t="s">
        <v>12</v>
      </c>
      <c r="R271" s="5" t="s">
        <v>12</v>
      </c>
      <c r="S271" s="5" t="s">
        <v>12</v>
      </c>
      <c r="V271" s="5" t="s">
        <v>12</v>
      </c>
      <c r="W271" s="5" t="s">
        <v>12</v>
      </c>
      <c r="X271" s="5" t="s">
        <v>12</v>
      </c>
      <c r="Y271" s="5" t="s">
        <v>12</v>
      </c>
      <c r="AD271" s="5" t="s">
        <v>12</v>
      </c>
      <c r="AE271" s="5" t="s">
        <v>12</v>
      </c>
      <c r="AF271" s="5" t="s">
        <v>12</v>
      </c>
      <c r="AG271" s="5" t="s">
        <v>12</v>
      </c>
    </row>
    <row r="272" spans="1:35" ht="18" x14ac:dyDescent="0.35">
      <c r="A272" s="8">
        <v>270</v>
      </c>
      <c r="B272" s="150" t="s">
        <v>44</v>
      </c>
      <c r="C272" s="137" t="s">
        <v>1</v>
      </c>
      <c r="D272" s="137" t="s">
        <v>6</v>
      </c>
      <c r="E272" s="149" t="s">
        <v>0</v>
      </c>
      <c r="F272" s="1" t="s">
        <v>45</v>
      </c>
      <c r="I272" s="4">
        <f>0.00000332*$B$1^-8.8*EXP(-1569/$B$1)</f>
        <v>2.6091056711950295E-31</v>
      </c>
      <c r="J272" s="5" t="s">
        <v>12</v>
      </c>
      <c r="K272" s="4">
        <f>0.00000000474*$B$1^-0.82*EXP(21/$B$1)</f>
        <v>3.0356461000045784E-11</v>
      </c>
      <c r="L272" s="5" t="s">
        <v>12</v>
      </c>
      <c r="M272" s="139">
        <v>123</v>
      </c>
      <c r="N272" s="139"/>
      <c r="O272" s="143" t="s">
        <v>547</v>
      </c>
      <c r="P272" s="5" t="s">
        <v>12</v>
      </c>
      <c r="Q272" s="5" t="s">
        <v>12</v>
      </c>
      <c r="R272" s="5" t="s">
        <v>12</v>
      </c>
      <c r="S272" s="4">
        <f>0.0000000000751*($B$1/298)^-0.6</f>
        <v>5.5176432175979146E-11</v>
      </c>
      <c r="T272" s="81">
        <v>10</v>
      </c>
      <c r="U272" s="55" t="s">
        <v>249</v>
      </c>
      <c r="V272" s="171">
        <f>0.00000000217*$B$1^-2.27*EXP(-26317/$B$1)</f>
        <v>1.8616813334208576E-38</v>
      </c>
      <c r="W272" s="165" t="s">
        <v>12</v>
      </c>
      <c r="X272" s="165">
        <f>0.08*($B$1/298)^-6.55*EXP(-217000/(8.314*$B$1))</f>
        <v>4.8601779986881345E-26</v>
      </c>
      <c r="Y272" s="165" t="s">
        <v>12</v>
      </c>
      <c r="Z272" s="139">
        <v>123</v>
      </c>
      <c r="AA272" s="139"/>
      <c r="AB272" s="157" t="s">
        <v>549</v>
      </c>
      <c r="AD272" s="5" t="s">
        <v>12</v>
      </c>
      <c r="AE272" s="5" t="s">
        <v>12</v>
      </c>
      <c r="AF272" s="5" t="s">
        <v>12</v>
      </c>
      <c r="AG272" s="165">
        <f>0.000183*($B$1/298)^-1.98*EXP(-200000/(8.314*$B$1))</f>
        <v>7.0537234583630964E-26</v>
      </c>
      <c r="AH272" s="139">
        <v>143</v>
      </c>
      <c r="AI272" s="138" t="s">
        <v>577</v>
      </c>
    </row>
    <row r="273" spans="1:35" x14ac:dyDescent="0.25">
      <c r="A273" s="8">
        <v>271</v>
      </c>
      <c r="B273" s="150"/>
      <c r="C273" s="137"/>
      <c r="D273" s="137"/>
      <c r="E273" s="149"/>
      <c r="F273" s="1" t="s">
        <v>46</v>
      </c>
      <c r="I273" s="4">
        <f>315*$B$1^-12.3*EXP(-2585/$B$1)</f>
        <v>1.1671856907018691E-33</v>
      </c>
      <c r="J273" s="5" t="s">
        <v>12</v>
      </c>
      <c r="K273" s="4">
        <f>0.000000000171*$B$1^-0.24*EXP(-100/$B$1)</f>
        <v>3.1509986003495751E-11</v>
      </c>
      <c r="L273" s="5" t="s">
        <v>12</v>
      </c>
      <c r="M273" s="139"/>
      <c r="N273" s="139"/>
      <c r="O273" s="143"/>
      <c r="P273" s="5" t="s">
        <v>12</v>
      </c>
      <c r="Q273" s="5" t="s">
        <v>12</v>
      </c>
      <c r="R273" s="5" t="s">
        <v>12</v>
      </c>
      <c r="S273" s="4">
        <f>0.0000000000694*($B$1/298)^-0.8</f>
        <v>4.6009167380989989E-11</v>
      </c>
      <c r="T273" s="80">
        <v>144</v>
      </c>
      <c r="U273" s="55" t="s">
        <v>211</v>
      </c>
      <c r="V273" s="171"/>
      <c r="W273" s="165"/>
      <c r="X273" s="165"/>
      <c r="Y273" s="165"/>
      <c r="Z273" s="139"/>
      <c r="AA273" s="139"/>
      <c r="AB273" s="157"/>
      <c r="AD273" s="5" t="s">
        <v>12</v>
      </c>
      <c r="AE273" s="5" t="s">
        <v>12</v>
      </c>
      <c r="AF273" s="5" t="s">
        <v>12</v>
      </c>
      <c r="AG273" s="165"/>
      <c r="AH273" s="139"/>
      <c r="AI273" s="138"/>
    </row>
    <row r="274" spans="1:35" ht="18" x14ac:dyDescent="0.35">
      <c r="A274" s="8">
        <v>272</v>
      </c>
      <c r="B274" s="150" t="s">
        <v>44</v>
      </c>
      <c r="C274" s="137" t="s">
        <v>1</v>
      </c>
      <c r="D274" s="137" t="s">
        <v>7</v>
      </c>
      <c r="E274" s="149" t="s">
        <v>0</v>
      </c>
      <c r="F274" s="1" t="s">
        <v>129</v>
      </c>
      <c r="I274" s="5" t="s">
        <v>12</v>
      </c>
      <c r="J274" s="5" t="s">
        <v>12</v>
      </c>
      <c r="K274" s="5" t="s">
        <v>12</v>
      </c>
      <c r="L274" s="4">
        <f>0.0000000000047*($B$1/298)^-1.4</f>
        <v>2.2892669536316976E-12</v>
      </c>
      <c r="M274" s="139">
        <v>20</v>
      </c>
      <c r="N274" s="139"/>
      <c r="O274" s="9" t="s">
        <v>265</v>
      </c>
      <c r="P274" s="5" t="s">
        <v>12</v>
      </c>
      <c r="Q274" s="5" t="s">
        <v>12</v>
      </c>
      <c r="R274" s="5" t="s">
        <v>12</v>
      </c>
      <c r="S274" s="5" t="s">
        <v>12</v>
      </c>
      <c r="V274" s="5" t="s">
        <v>12</v>
      </c>
      <c r="W274" s="5" t="s">
        <v>12</v>
      </c>
      <c r="X274" s="5" t="s">
        <v>12</v>
      </c>
      <c r="Y274" s="5" t="s">
        <v>12</v>
      </c>
      <c r="AD274" s="5" t="s">
        <v>12</v>
      </c>
      <c r="AE274" s="5" t="s">
        <v>12</v>
      </c>
      <c r="AF274" s="5" t="s">
        <v>12</v>
      </c>
      <c r="AG274" s="5" t="s">
        <v>12</v>
      </c>
    </row>
    <row r="275" spans="1:35" ht="18" x14ac:dyDescent="0.35">
      <c r="A275" s="8">
        <v>273</v>
      </c>
      <c r="B275" s="150"/>
      <c r="C275" s="137"/>
      <c r="D275" s="137"/>
      <c r="E275" s="149"/>
      <c r="F275" s="1" t="s">
        <v>130</v>
      </c>
      <c r="G275" s="33" t="s">
        <v>1</v>
      </c>
      <c r="H275" s="1" t="s">
        <v>23</v>
      </c>
      <c r="I275" s="5" t="s">
        <v>12</v>
      </c>
      <c r="J275" s="5" t="s">
        <v>12</v>
      </c>
      <c r="K275" s="5" t="s">
        <v>12</v>
      </c>
      <c r="L275" s="12" t="s">
        <v>582</v>
      </c>
      <c r="M275" s="139">
        <v>145</v>
      </c>
      <c r="N275" s="139"/>
      <c r="O275" s="27" t="s">
        <v>356</v>
      </c>
      <c r="P275" s="5" t="s">
        <v>12</v>
      </c>
      <c r="Q275" s="5" t="s">
        <v>12</v>
      </c>
      <c r="R275" s="5" t="s">
        <v>12</v>
      </c>
      <c r="S275" s="5" t="s">
        <v>12</v>
      </c>
      <c r="V275" s="5" t="s">
        <v>12</v>
      </c>
      <c r="W275" s="5" t="s">
        <v>12</v>
      </c>
      <c r="X275" s="5" t="s">
        <v>12</v>
      </c>
      <c r="Y275" s="5" t="s">
        <v>12</v>
      </c>
      <c r="AD275" s="5" t="s">
        <v>12</v>
      </c>
      <c r="AE275" s="5" t="s">
        <v>12</v>
      </c>
      <c r="AF275" s="5" t="s">
        <v>12</v>
      </c>
      <c r="AG275" s="5" t="s">
        <v>12</v>
      </c>
    </row>
    <row r="276" spans="1:35" ht="18" x14ac:dyDescent="0.35">
      <c r="A276" s="8">
        <v>274</v>
      </c>
      <c r="B276" s="1" t="s">
        <v>44</v>
      </c>
      <c r="C276" s="1" t="s">
        <v>1</v>
      </c>
      <c r="D276" s="1" t="s">
        <v>14</v>
      </c>
      <c r="E276" s="2" t="s">
        <v>0</v>
      </c>
      <c r="F276" s="1" t="s">
        <v>43</v>
      </c>
      <c r="G276" s="1" t="s">
        <v>1</v>
      </c>
      <c r="H276" s="1" t="s">
        <v>23</v>
      </c>
      <c r="I276" s="5" t="s">
        <v>12</v>
      </c>
      <c r="J276" s="5" t="s">
        <v>12</v>
      </c>
      <c r="K276" s="5" t="s">
        <v>12</v>
      </c>
      <c r="L276" s="4">
        <f>0.00000000000651*($B$1/298)*EXP(1000/(8.314*$B$1))</f>
        <v>1.385434180742594E-11</v>
      </c>
      <c r="M276" s="146">
        <v>106</v>
      </c>
      <c r="N276" s="146"/>
      <c r="O276" s="19" t="s">
        <v>364</v>
      </c>
      <c r="P276" s="5" t="s">
        <v>12</v>
      </c>
      <c r="Q276" s="5" t="s">
        <v>12</v>
      </c>
      <c r="R276" s="5" t="s">
        <v>12</v>
      </c>
      <c r="S276" s="5" t="s">
        <v>12</v>
      </c>
      <c r="V276" s="5" t="s">
        <v>12</v>
      </c>
      <c r="W276" s="5" t="s">
        <v>12</v>
      </c>
      <c r="X276" s="5" t="s">
        <v>12</v>
      </c>
      <c r="Y276" s="5" t="s">
        <v>12</v>
      </c>
      <c r="AD276" s="5" t="s">
        <v>12</v>
      </c>
      <c r="AE276" s="5" t="s">
        <v>12</v>
      </c>
      <c r="AF276" s="5" t="s">
        <v>12</v>
      </c>
      <c r="AG276" s="5" t="s">
        <v>12</v>
      </c>
    </row>
    <row r="277" spans="1:35" ht="18.75" x14ac:dyDescent="0.35">
      <c r="A277" s="8">
        <v>275</v>
      </c>
      <c r="B277" s="1" t="s">
        <v>44</v>
      </c>
      <c r="C277" s="1" t="s">
        <v>1</v>
      </c>
      <c r="D277" s="1" t="s">
        <v>4</v>
      </c>
      <c r="E277" s="2" t="s">
        <v>0</v>
      </c>
      <c r="F277" s="1" t="s">
        <v>43</v>
      </c>
      <c r="G277" s="1" t="s">
        <v>1</v>
      </c>
      <c r="H277" s="1" t="s">
        <v>23</v>
      </c>
      <c r="I277" s="5" t="s">
        <v>12</v>
      </c>
      <c r="J277" s="5" t="s">
        <v>12</v>
      </c>
      <c r="K277" s="5" t="s">
        <v>12</v>
      </c>
      <c r="L277" s="4">
        <f>0.00000000000989*($B$1/298)^-0.65</f>
        <v>7.0819486872316661E-12</v>
      </c>
      <c r="M277" s="139">
        <v>146</v>
      </c>
      <c r="N277" s="139"/>
      <c r="O277" s="19" t="s">
        <v>365</v>
      </c>
      <c r="P277" s="5" t="s">
        <v>12</v>
      </c>
      <c r="Q277" s="5" t="s">
        <v>12</v>
      </c>
      <c r="R277" s="5" t="s">
        <v>12</v>
      </c>
      <c r="S277" s="5" t="s">
        <v>12</v>
      </c>
      <c r="V277" s="5" t="s">
        <v>12</v>
      </c>
      <c r="W277" s="5" t="s">
        <v>12</v>
      </c>
      <c r="X277" s="5" t="s">
        <v>12</v>
      </c>
      <c r="Y277" s="5" t="s">
        <v>12</v>
      </c>
      <c r="AD277" s="5" t="s">
        <v>12</v>
      </c>
      <c r="AE277" s="5" t="s">
        <v>12</v>
      </c>
      <c r="AF277" s="5" t="s">
        <v>12</v>
      </c>
      <c r="AG277" s="5" t="s">
        <v>12</v>
      </c>
    </row>
    <row r="278" spans="1:35" ht="18.75" x14ac:dyDescent="0.35">
      <c r="A278" s="8">
        <v>276</v>
      </c>
      <c r="B278" s="1" t="s">
        <v>44</v>
      </c>
      <c r="C278" s="1" t="s">
        <v>1</v>
      </c>
      <c r="D278" s="1" t="s">
        <v>126</v>
      </c>
      <c r="E278" s="2" t="s">
        <v>0</v>
      </c>
      <c r="F278" s="1" t="s">
        <v>43</v>
      </c>
      <c r="G278" s="1" t="s">
        <v>1</v>
      </c>
      <c r="H278" s="1" t="s">
        <v>23</v>
      </c>
      <c r="I278" s="5" t="s">
        <v>12</v>
      </c>
      <c r="J278" s="5" t="s">
        <v>12</v>
      </c>
      <c r="K278" s="5" t="s">
        <v>12</v>
      </c>
      <c r="L278" s="4">
        <v>3.0099999999999999E-10</v>
      </c>
      <c r="M278" s="139">
        <v>147</v>
      </c>
      <c r="N278" s="139"/>
      <c r="O278" s="19" t="s">
        <v>204</v>
      </c>
      <c r="P278" s="5" t="s">
        <v>12</v>
      </c>
      <c r="Q278" s="5" t="s">
        <v>12</v>
      </c>
      <c r="R278" s="5" t="s">
        <v>12</v>
      </c>
      <c r="S278" s="5" t="s">
        <v>12</v>
      </c>
      <c r="V278" s="5" t="s">
        <v>12</v>
      </c>
      <c r="W278" s="5" t="s">
        <v>12</v>
      </c>
      <c r="X278" s="5" t="s">
        <v>12</v>
      </c>
      <c r="Y278" s="5" t="s">
        <v>12</v>
      </c>
      <c r="AD278" s="5" t="s">
        <v>12</v>
      </c>
      <c r="AE278" s="5" t="s">
        <v>12</v>
      </c>
      <c r="AF278" s="5" t="s">
        <v>12</v>
      </c>
      <c r="AG278" s="5" t="s">
        <v>12</v>
      </c>
    </row>
    <row r="279" spans="1:35" ht="18" x14ac:dyDescent="0.35">
      <c r="A279" s="8">
        <v>277</v>
      </c>
      <c r="B279" s="1" t="s">
        <v>44</v>
      </c>
      <c r="C279" s="1" t="s">
        <v>1</v>
      </c>
      <c r="D279" s="1" t="s">
        <v>29</v>
      </c>
      <c r="E279" s="2" t="s">
        <v>0</v>
      </c>
      <c r="F279" s="1" t="s">
        <v>43</v>
      </c>
      <c r="G279" s="1" t="s">
        <v>1</v>
      </c>
      <c r="H279" s="1" t="s">
        <v>6</v>
      </c>
      <c r="I279" s="5" t="s">
        <v>12</v>
      </c>
      <c r="J279" s="5" t="s">
        <v>12</v>
      </c>
      <c r="K279" s="5" t="s">
        <v>12</v>
      </c>
      <c r="L279" s="4">
        <f>0.0000000004*($B$1/298)*EXP(-2827/(8.314*$B$1))</f>
        <v>3.3787939252965619E-10</v>
      </c>
      <c r="M279" s="139">
        <v>20</v>
      </c>
      <c r="N279" s="139"/>
      <c r="O279" s="9" t="s">
        <v>265</v>
      </c>
      <c r="P279" s="5" t="s">
        <v>12</v>
      </c>
      <c r="Q279" s="5" t="s">
        <v>12</v>
      </c>
      <c r="R279" s="5" t="s">
        <v>12</v>
      </c>
      <c r="S279" s="5" t="s">
        <v>12</v>
      </c>
      <c r="V279" s="5" t="s">
        <v>12</v>
      </c>
      <c r="W279" s="5" t="s">
        <v>12</v>
      </c>
      <c r="X279" s="5" t="s">
        <v>12</v>
      </c>
      <c r="Y279" s="5" t="s">
        <v>12</v>
      </c>
      <c r="AD279" s="5" t="s">
        <v>12</v>
      </c>
      <c r="AE279" s="5" t="s">
        <v>12</v>
      </c>
      <c r="AF279" s="5" t="s">
        <v>12</v>
      </c>
      <c r="AG279" s="5" t="s">
        <v>12</v>
      </c>
    </row>
    <row r="280" spans="1:35" ht="18" x14ac:dyDescent="0.35">
      <c r="A280" s="8">
        <v>278</v>
      </c>
      <c r="B280" s="1" t="s">
        <v>42</v>
      </c>
      <c r="C280" s="1" t="s">
        <v>1</v>
      </c>
      <c r="D280" s="1" t="s">
        <v>24</v>
      </c>
      <c r="E280" s="2" t="s">
        <v>0</v>
      </c>
      <c r="F280" s="1" t="s">
        <v>41</v>
      </c>
      <c r="G280" s="1" t="s">
        <v>1</v>
      </c>
      <c r="H280" s="1" t="s">
        <v>25</v>
      </c>
      <c r="I280" s="5" t="s">
        <v>12</v>
      </c>
      <c r="J280" s="5" t="s">
        <v>12</v>
      </c>
      <c r="K280" s="5" t="s">
        <v>12</v>
      </c>
      <c r="L280" s="4">
        <f>0.000000000015*$B$1/298*EXP(-36420/(8.314*$B$1))</f>
        <v>3.8036109572797363E-15</v>
      </c>
      <c r="M280" s="139">
        <v>148</v>
      </c>
      <c r="N280" s="139"/>
      <c r="O280" s="19" t="s">
        <v>366</v>
      </c>
      <c r="P280" s="5" t="s">
        <v>12</v>
      </c>
      <c r="Q280" s="5" t="s">
        <v>12</v>
      </c>
      <c r="R280" s="5" t="s">
        <v>12</v>
      </c>
      <c r="S280" s="5" t="s">
        <v>12</v>
      </c>
      <c r="V280" s="5" t="s">
        <v>12</v>
      </c>
      <c r="W280" s="5" t="s">
        <v>12</v>
      </c>
      <c r="X280" s="5" t="s">
        <v>12</v>
      </c>
      <c r="Y280" s="5" t="s">
        <v>12</v>
      </c>
      <c r="AD280" s="5" t="s">
        <v>12</v>
      </c>
      <c r="AE280" s="5" t="s">
        <v>12</v>
      </c>
      <c r="AF280" s="5" t="s">
        <v>12</v>
      </c>
      <c r="AG280" s="5" t="s">
        <v>12</v>
      </c>
    </row>
    <row r="281" spans="1:35" ht="18" x14ac:dyDescent="0.35">
      <c r="A281" s="8">
        <v>279</v>
      </c>
      <c r="B281" s="150" t="s">
        <v>42</v>
      </c>
      <c r="C281" s="137" t="s">
        <v>1</v>
      </c>
      <c r="D281" s="137" t="s">
        <v>71</v>
      </c>
      <c r="E281" s="149" t="s">
        <v>0</v>
      </c>
      <c r="F281" s="1" t="s">
        <v>121</v>
      </c>
      <c r="G281" s="1" t="s">
        <v>1</v>
      </c>
      <c r="H281" s="1" t="s">
        <v>32</v>
      </c>
      <c r="I281" s="5" t="s">
        <v>12</v>
      </c>
      <c r="J281" s="5" t="s">
        <v>12</v>
      </c>
      <c r="K281" s="5" t="s">
        <v>12</v>
      </c>
      <c r="L281" s="4">
        <f>0.000000000000448*($B$1/298)^2.48*EXP(-26600/(8.314*$B$1))</f>
        <v>2.6023827769880425E-15</v>
      </c>
      <c r="M281" s="139">
        <v>149</v>
      </c>
      <c r="N281" s="139"/>
      <c r="O281" s="138" t="s">
        <v>163</v>
      </c>
      <c r="P281" s="5" t="s">
        <v>12</v>
      </c>
      <c r="Q281" s="5" t="s">
        <v>12</v>
      </c>
      <c r="R281" s="5" t="s">
        <v>12</v>
      </c>
      <c r="S281" s="5" t="s">
        <v>12</v>
      </c>
      <c r="T281" s="85"/>
      <c r="V281" s="5" t="s">
        <v>12</v>
      </c>
      <c r="W281" s="5" t="s">
        <v>12</v>
      </c>
      <c r="X281" s="5" t="s">
        <v>12</v>
      </c>
      <c r="Y281" s="5" t="s">
        <v>12</v>
      </c>
      <c r="AD281" s="5" t="s">
        <v>12</v>
      </c>
      <c r="AE281" s="5" t="s">
        <v>12</v>
      </c>
      <c r="AF281" s="5" t="s">
        <v>12</v>
      </c>
      <c r="AG281" s="5" t="s">
        <v>12</v>
      </c>
    </row>
    <row r="282" spans="1:35" ht="18" x14ac:dyDescent="0.35">
      <c r="A282" s="8">
        <v>280</v>
      </c>
      <c r="B282" s="150"/>
      <c r="C282" s="137"/>
      <c r="D282" s="137"/>
      <c r="E282" s="149"/>
      <c r="F282" s="1" t="s">
        <v>116</v>
      </c>
      <c r="G282" s="1" t="s">
        <v>1</v>
      </c>
      <c r="H282" s="1" t="s">
        <v>32</v>
      </c>
      <c r="I282" s="5" t="s">
        <v>12</v>
      </c>
      <c r="J282" s="5" t="s">
        <v>12</v>
      </c>
      <c r="K282" s="5" t="s">
        <v>12</v>
      </c>
      <c r="L282" s="4">
        <f>0.000000000000328*($B$1/298)^2.19*EXP(-31730/(8.314*$B$1))</f>
        <v>4.7568357225257074E-16</v>
      </c>
      <c r="M282" s="139"/>
      <c r="N282" s="139"/>
      <c r="O282" s="138"/>
      <c r="P282" s="5" t="s">
        <v>12</v>
      </c>
      <c r="Q282" s="5" t="s">
        <v>12</v>
      </c>
      <c r="R282" s="5" t="s">
        <v>12</v>
      </c>
      <c r="S282" s="5" t="s">
        <v>12</v>
      </c>
      <c r="T282" s="85"/>
      <c r="V282" s="5" t="s">
        <v>12</v>
      </c>
      <c r="W282" s="5" t="s">
        <v>12</v>
      </c>
      <c r="X282" s="5" t="s">
        <v>12</v>
      </c>
      <c r="Y282" s="5" t="s">
        <v>12</v>
      </c>
      <c r="AD282" s="5" t="s">
        <v>12</v>
      </c>
      <c r="AE282" s="5" t="s">
        <v>12</v>
      </c>
      <c r="AF282" s="5" t="s">
        <v>12</v>
      </c>
      <c r="AG282" s="5" t="s">
        <v>12</v>
      </c>
    </row>
    <row r="283" spans="1:35" ht="18" x14ac:dyDescent="0.35">
      <c r="A283" s="8">
        <v>281</v>
      </c>
      <c r="B283" s="1" t="s">
        <v>42</v>
      </c>
      <c r="C283" s="1" t="s">
        <v>1</v>
      </c>
      <c r="D283" s="1" t="s">
        <v>69</v>
      </c>
      <c r="E283" s="2" t="s">
        <v>0</v>
      </c>
      <c r="F283" s="1" t="s">
        <v>116</v>
      </c>
      <c r="G283" s="1" t="s">
        <v>1</v>
      </c>
      <c r="H283" s="1" t="s">
        <v>32</v>
      </c>
      <c r="I283" s="5" t="s">
        <v>12</v>
      </c>
      <c r="J283" s="5" t="s">
        <v>12</v>
      </c>
      <c r="K283" s="5" t="s">
        <v>12</v>
      </c>
      <c r="L283" s="4">
        <f>0.000000000000498*($B$1/298)^2.09*EXP(-27050/(8.314*$B$1))</f>
        <v>2.123777071188184E-15</v>
      </c>
      <c r="M283" s="139"/>
      <c r="N283" s="139"/>
      <c r="O283" s="138"/>
      <c r="P283" s="5" t="s">
        <v>12</v>
      </c>
      <c r="Q283" s="5" t="s">
        <v>12</v>
      </c>
      <c r="R283" s="5" t="s">
        <v>12</v>
      </c>
      <c r="S283" s="5" t="s">
        <v>12</v>
      </c>
      <c r="T283" s="85"/>
      <c r="V283" s="5" t="s">
        <v>12</v>
      </c>
      <c r="W283" s="5" t="s">
        <v>12</v>
      </c>
      <c r="X283" s="5" t="s">
        <v>12</v>
      </c>
      <c r="Y283" s="5" t="s">
        <v>12</v>
      </c>
      <c r="AD283" s="5" t="s">
        <v>12</v>
      </c>
      <c r="AE283" s="5" t="s">
        <v>12</v>
      </c>
      <c r="AF283" s="5" t="s">
        <v>12</v>
      </c>
      <c r="AG283" s="5" t="s">
        <v>12</v>
      </c>
    </row>
    <row r="284" spans="1:35" ht="18" x14ac:dyDescent="0.35">
      <c r="A284" s="8">
        <v>282</v>
      </c>
      <c r="B284" s="150" t="s">
        <v>42</v>
      </c>
      <c r="C284" s="137" t="s">
        <v>1</v>
      </c>
      <c r="D284" s="137" t="s">
        <v>6</v>
      </c>
      <c r="E284" s="149" t="s">
        <v>0</v>
      </c>
      <c r="F284" s="1" t="s">
        <v>41</v>
      </c>
      <c r="G284" s="1" t="s">
        <v>1</v>
      </c>
      <c r="H284" s="1" t="s">
        <v>32</v>
      </c>
      <c r="I284" s="5" t="s">
        <v>12</v>
      </c>
      <c r="J284" s="5" t="s">
        <v>12</v>
      </c>
      <c r="K284" s="5" t="s">
        <v>12</v>
      </c>
      <c r="L284" s="4">
        <f>1.45E-23*$B$1^3.5*EXP(839/$B$1)</f>
        <v>2.1556636003302236E-13</v>
      </c>
      <c r="M284" s="139">
        <v>150</v>
      </c>
      <c r="N284" s="139"/>
      <c r="O284" s="19" t="s">
        <v>367</v>
      </c>
      <c r="P284" s="5" t="s">
        <v>12</v>
      </c>
      <c r="Q284" s="5" t="s">
        <v>12</v>
      </c>
      <c r="R284" s="5" t="s">
        <v>12</v>
      </c>
      <c r="S284" s="4">
        <f>0.0000000000000083*($B$1/298)*EXP(7067/(8.314*$B$1))</f>
        <v>7.6431947469589856E-14</v>
      </c>
      <c r="T284" s="92">
        <v>151</v>
      </c>
      <c r="U284" s="55" t="s">
        <v>212</v>
      </c>
      <c r="V284" s="5" t="s">
        <v>12</v>
      </c>
      <c r="W284" s="5" t="s">
        <v>12</v>
      </c>
      <c r="X284" s="5" t="s">
        <v>12</v>
      </c>
      <c r="Y284" s="5" t="s">
        <v>12</v>
      </c>
      <c r="AD284" s="5" t="s">
        <v>12</v>
      </c>
      <c r="AE284" s="5" t="s">
        <v>12</v>
      </c>
      <c r="AF284" s="5" t="s">
        <v>12</v>
      </c>
      <c r="AG284" s="5" t="s">
        <v>12</v>
      </c>
    </row>
    <row r="285" spans="1:35" ht="18" x14ac:dyDescent="0.35">
      <c r="A285" s="8">
        <v>283</v>
      </c>
      <c r="B285" s="150"/>
      <c r="C285" s="137"/>
      <c r="D285" s="137"/>
      <c r="E285" s="149"/>
      <c r="F285" s="1" t="s">
        <v>44</v>
      </c>
      <c r="G285" s="1" t="s">
        <v>1</v>
      </c>
      <c r="H285" s="1" t="s">
        <v>57</v>
      </c>
      <c r="I285" s="5" t="s">
        <v>12</v>
      </c>
      <c r="J285" s="5" t="s">
        <v>12</v>
      </c>
      <c r="K285" s="5" t="s">
        <v>12</v>
      </c>
      <c r="L285" s="12" t="s">
        <v>580</v>
      </c>
      <c r="M285" s="139">
        <v>152</v>
      </c>
      <c r="N285" s="139"/>
      <c r="O285" s="19" t="s">
        <v>204</v>
      </c>
      <c r="P285" s="5" t="s">
        <v>12</v>
      </c>
      <c r="Q285" s="5" t="s">
        <v>12</v>
      </c>
      <c r="R285" s="5" t="s">
        <v>12</v>
      </c>
      <c r="S285" s="5" t="s">
        <v>12</v>
      </c>
      <c r="V285" s="5" t="s">
        <v>12</v>
      </c>
      <c r="W285" s="5" t="s">
        <v>12</v>
      </c>
      <c r="X285" s="5" t="s">
        <v>12</v>
      </c>
      <c r="Y285" s="5" t="s">
        <v>12</v>
      </c>
      <c r="AD285" s="5" t="s">
        <v>12</v>
      </c>
      <c r="AE285" s="5" t="s">
        <v>12</v>
      </c>
      <c r="AF285" s="5" t="s">
        <v>12</v>
      </c>
      <c r="AG285" s="5" t="s">
        <v>12</v>
      </c>
    </row>
    <row r="286" spans="1:35" ht="18" x14ac:dyDescent="0.35">
      <c r="A286" s="8">
        <v>284</v>
      </c>
      <c r="B286" s="1" t="s">
        <v>42</v>
      </c>
      <c r="C286" s="1" t="s">
        <v>1</v>
      </c>
      <c r="D286" s="1" t="s">
        <v>14</v>
      </c>
      <c r="E286" s="2" t="s">
        <v>0</v>
      </c>
      <c r="F286" s="1" t="s">
        <v>41</v>
      </c>
      <c r="G286" s="1" t="s">
        <v>1</v>
      </c>
      <c r="H286" s="1" t="s">
        <v>6</v>
      </c>
      <c r="I286" s="5" t="s">
        <v>12</v>
      </c>
      <c r="J286" s="5" t="s">
        <v>12</v>
      </c>
      <c r="K286" s="5" t="s">
        <v>12</v>
      </c>
      <c r="L286" s="12" t="s">
        <v>581</v>
      </c>
      <c r="M286" s="139">
        <v>20</v>
      </c>
      <c r="N286" s="139"/>
      <c r="O286" s="28" t="s">
        <v>228</v>
      </c>
      <c r="P286" s="5" t="s">
        <v>12</v>
      </c>
      <c r="Q286" s="5" t="s">
        <v>12</v>
      </c>
      <c r="R286" s="5" t="s">
        <v>12</v>
      </c>
      <c r="S286" s="5" t="s">
        <v>12</v>
      </c>
      <c r="T286" s="85"/>
      <c r="U286" s="59"/>
      <c r="V286" s="5" t="s">
        <v>12</v>
      </c>
      <c r="W286" s="5" t="s">
        <v>12</v>
      </c>
      <c r="X286" s="5" t="s">
        <v>12</v>
      </c>
      <c r="Y286" s="5" t="s">
        <v>12</v>
      </c>
      <c r="AD286" s="5" t="s">
        <v>12</v>
      </c>
      <c r="AE286" s="5" t="s">
        <v>12</v>
      </c>
      <c r="AF286" s="5" t="s">
        <v>12</v>
      </c>
      <c r="AG286" s="5" t="s">
        <v>12</v>
      </c>
    </row>
    <row r="287" spans="1:35" ht="18" x14ac:dyDescent="0.35">
      <c r="A287" s="8">
        <v>285</v>
      </c>
      <c r="B287" s="150" t="s">
        <v>42</v>
      </c>
      <c r="C287" s="137" t="s">
        <v>1</v>
      </c>
      <c r="D287" s="137" t="s">
        <v>29</v>
      </c>
      <c r="E287" s="149" t="s">
        <v>0</v>
      </c>
      <c r="F287" s="1" t="s">
        <v>44</v>
      </c>
      <c r="G287" s="1" t="s">
        <v>1</v>
      </c>
      <c r="H287" s="1" t="s">
        <v>32</v>
      </c>
      <c r="I287" s="5" t="s">
        <v>12</v>
      </c>
      <c r="J287" s="5" t="s">
        <v>12</v>
      </c>
      <c r="K287" s="5" t="s">
        <v>12</v>
      </c>
      <c r="L287" s="4">
        <f>0.0000000000000139*($B$1/298)^3.29*EXP(-26270/(8.314*$B$1))</f>
        <v>1.3257408559545899E-16</v>
      </c>
      <c r="M287" s="139">
        <v>153</v>
      </c>
      <c r="N287" s="139"/>
      <c r="O287" s="143" t="s">
        <v>156</v>
      </c>
      <c r="P287" s="5" t="s">
        <v>12</v>
      </c>
      <c r="Q287" s="5" t="s">
        <v>12</v>
      </c>
      <c r="R287" s="5" t="s">
        <v>12</v>
      </c>
      <c r="S287" s="5" t="s">
        <v>12</v>
      </c>
      <c r="T287" s="85"/>
      <c r="U287" s="59"/>
      <c r="V287" s="5" t="s">
        <v>12</v>
      </c>
      <c r="W287" s="5" t="s">
        <v>12</v>
      </c>
      <c r="X287" s="5" t="s">
        <v>12</v>
      </c>
      <c r="Y287" s="5" t="s">
        <v>12</v>
      </c>
      <c r="AD287" s="5" t="s">
        <v>12</v>
      </c>
      <c r="AE287" s="5" t="s">
        <v>12</v>
      </c>
      <c r="AF287" s="5" t="s">
        <v>12</v>
      </c>
      <c r="AG287" s="5" t="s">
        <v>12</v>
      </c>
    </row>
    <row r="288" spans="1:35" ht="18" x14ac:dyDescent="0.35">
      <c r="A288" s="8">
        <v>286</v>
      </c>
      <c r="B288" s="150"/>
      <c r="C288" s="137"/>
      <c r="D288" s="137"/>
      <c r="E288" s="149"/>
      <c r="F288" s="1" t="s">
        <v>41</v>
      </c>
      <c r="G288" s="1" t="s">
        <v>1</v>
      </c>
      <c r="H288" s="1" t="s">
        <v>31</v>
      </c>
      <c r="I288" s="5" t="s">
        <v>12</v>
      </c>
      <c r="J288" s="5" t="s">
        <v>12</v>
      </c>
      <c r="K288" s="5" t="s">
        <v>12</v>
      </c>
      <c r="L288" s="4">
        <f>0.00000000000565*($B$1/298)^1.53*EXP(-68590/(8.314*$B$1))</f>
        <v>7.9623251020283639E-19</v>
      </c>
      <c r="M288" s="139"/>
      <c r="N288" s="139"/>
      <c r="O288" s="143"/>
      <c r="P288" s="5" t="s">
        <v>12</v>
      </c>
      <c r="Q288" s="5" t="s">
        <v>12</v>
      </c>
      <c r="R288" s="5" t="s">
        <v>12</v>
      </c>
      <c r="S288" s="5" t="s">
        <v>12</v>
      </c>
      <c r="T288" s="85"/>
      <c r="U288" s="59"/>
      <c r="V288" s="5" t="s">
        <v>12</v>
      </c>
      <c r="W288" s="5" t="s">
        <v>12</v>
      </c>
      <c r="X288" s="5" t="s">
        <v>12</v>
      </c>
      <c r="Y288" s="5" t="s">
        <v>12</v>
      </c>
      <c r="AD288" s="5" t="s">
        <v>12</v>
      </c>
      <c r="AE288" s="5" t="s">
        <v>12</v>
      </c>
      <c r="AF288" s="5" t="s">
        <v>12</v>
      </c>
      <c r="AG288" s="5" t="s">
        <v>12</v>
      </c>
    </row>
    <row r="289" spans="1:35" x14ac:dyDescent="0.25">
      <c r="A289" s="8">
        <v>287</v>
      </c>
      <c r="B289" s="150"/>
      <c r="C289" s="137"/>
      <c r="D289" s="137"/>
      <c r="E289" s="149"/>
      <c r="F289" s="1" t="s">
        <v>115</v>
      </c>
      <c r="G289" s="1" t="s">
        <v>1</v>
      </c>
      <c r="H289" s="1" t="s">
        <v>6</v>
      </c>
      <c r="I289" s="5" t="s">
        <v>12</v>
      </c>
      <c r="J289" s="5" t="s">
        <v>12</v>
      </c>
      <c r="K289" s="5" t="s">
        <v>12</v>
      </c>
      <c r="L289" s="4">
        <f>0.000000000000311*($B$1/298)^2.3*EXP(-29180/(8.314*$B$1))</f>
        <v>8.8337717535587318E-16</v>
      </c>
      <c r="M289" s="139"/>
      <c r="N289" s="139"/>
      <c r="O289" s="143"/>
      <c r="P289" s="5" t="s">
        <v>12</v>
      </c>
      <c r="Q289" s="5" t="s">
        <v>12</v>
      </c>
      <c r="R289" s="5" t="s">
        <v>12</v>
      </c>
      <c r="S289" s="5" t="s">
        <v>12</v>
      </c>
      <c r="T289" s="85"/>
      <c r="U289" s="59"/>
      <c r="V289" s="5" t="s">
        <v>12</v>
      </c>
      <c r="W289" s="5" t="s">
        <v>12</v>
      </c>
      <c r="X289" s="5" t="s">
        <v>12</v>
      </c>
      <c r="Y289" s="5" t="s">
        <v>12</v>
      </c>
      <c r="AD289" s="5" t="s">
        <v>12</v>
      </c>
      <c r="AE289" s="5" t="s">
        <v>12</v>
      </c>
      <c r="AF289" s="5" t="s">
        <v>12</v>
      </c>
      <c r="AG289" s="5" t="s">
        <v>12</v>
      </c>
    </row>
    <row r="290" spans="1:35" ht="18" x14ac:dyDescent="0.35">
      <c r="A290" s="8">
        <v>288</v>
      </c>
      <c r="B290" s="1" t="s">
        <v>46</v>
      </c>
      <c r="C290" s="1" t="s">
        <v>1</v>
      </c>
      <c r="D290" s="1" t="s">
        <v>24</v>
      </c>
      <c r="E290" s="2" t="s">
        <v>0</v>
      </c>
      <c r="F290" s="1" t="s">
        <v>41</v>
      </c>
      <c r="G290" s="1" t="s">
        <v>1</v>
      </c>
      <c r="H290" s="1" t="s">
        <v>25</v>
      </c>
      <c r="J290" s="5" t="s">
        <v>12</v>
      </c>
      <c r="K290" s="5" t="s">
        <v>12</v>
      </c>
      <c r="L290" s="12" t="s">
        <v>395</v>
      </c>
      <c r="M290" s="139">
        <v>50</v>
      </c>
      <c r="N290" s="139"/>
      <c r="O290" s="19" t="s">
        <v>228</v>
      </c>
      <c r="P290" s="5" t="s">
        <v>12</v>
      </c>
      <c r="Q290" s="5" t="s">
        <v>12</v>
      </c>
      <c r="R290" s="5" t="s">
        <v>12</v>
      </c>
      <c r="S290" s="5" t="s">
        <v>12</v>
      </c>
      <c r="V290" s="5" t="s">
        <v>12</v>
      </c>
      <c r="W290" s="5" t="s">
        <v>12</v>
      </c>
      <c r="X290" s="5" t="s">
        <v>12</v>
      </c>
      <c r="Y290" s="5" t="s">
        <v>12</v>
      </c>
      <c r="AD290" s="5" t="s">
        <v>12</v>
      </c>
      <c r="AE290" s="5" t="s">
        <v>12</v>
      </c>
      <c r="AF290" s="5" t="s">
        <v>12</v>
      </c>
      <c r="AG290" s="5" t="s">
        <v>12</v>
      </c>
    </row>
    <row r="291" spans="1:35" ht="18" x14ac:dyDescent="0.35">
      <c r="A291" s="8">
        <v>289</v>
      </c>
      <c r="B291" s="1" t="s">
        <v>41</v>
      </c>
      <c r="E291" s="2" t="s">
        <v>0</v>
      </c>
      <c r="F291" s="1" t="s">
        <v>44</v>
      </c>
      <c r="G291" s="1" t="s">
        <v>1</v>
      </c>
      <c r="H291" s="1" t="s">
        <v>14</v>
      </c>
      <c r="I291" s="5" t="s">
        <v>12</v>
      </c>
      <c r="J291" s="5" t="s">
        <v>12</v>
      </c>
      <c r="K291" s="5" t="s">
        <v>12</v>
      </c>
      <c r="L291" s="4">
        <f>0.000000000000194*($B$1/298)*EXP(-13390/(8.314*$B$1))</f>
        <v>1.2789580167656712E-14</v>
      </c>
      <c r="M291" s="139">
        <v>154</v>
      </c>
      <c r="N291" s="139"/>
      <c r="O291" s="9" t="s">
        <v>147</v>
      </c>
      <c r="P291" s="5" t="s">
        <v>12</v>
      </c>
      <c r="Q291" s="5" t="s">
        <v>12</v>
      </c>
      <c r="R291" s="5" t="s">
        <v>12</v>
      </c>
      <c r="S291" s="5" t="s">
        <v>12</v>
      </c>
      <c r="T291" s="85"/>
      <c r="V291" s="5" t="s">
        <v>12</v>
      </c>
      <c r="W291" s="5" t="s">
        <v>12</v>
      </c>
      <c r="X291" s="5" t="s">
        <v>12</v>
      </c>
      <c r="Y291" s="4">
        <f>0.0000000000271*($B$1/298)*EXP(-524/(8.314*$B$1))</f>
        <v>3.9917742933614729E-11</v>
      </c>
      <c r="Z291" s="139">
        <v>142</v>
      </c>
      <c r="AA291" s="139"/>
      <c r="AB291" s="15" t="s">
        <v>189</v>
      </c>
      <c r="AD291" s="5" t="s">
        <v>12</v>
      </c>
      <c r="AE291" s="5" t="s">
        <v>12</v>
      </c>
      <c r="AF291" s="5" t="s">
        <v>12</v>
      </c>
      <c r="AG291" s="4">
        <f>0.000000000023*($B$1/298)^0.24</f>
        <v>2.6018506568790419E-11</v>
      </c>
      <c r="AH291" s="94">
        <v>75</v>
      </c>
      <c r="AI291" s="52" t="s">
        <v>249</v>
      </c>
    </row>
    <row r="292" spans="1:35" ht="18" x14ac:dyDescent="0.35">
      <c r="A292" s="8">
        <v>290</v>
      </c>
      <c r="B292" s="1" t="s">
        <v>41</v>
      </c>
      <c r="C292" s="1" t="s">
        <v>1</v>
      </c>
      <c r="D292" s="1" t="s">
        <v>24</v>
      </c>
      <c r="E292" s="2" t="s">
        <v>0</v>
      </c>
      <c r="F292" s="1" t="s">
        <v>13</v>
      </c>
      <c r="G292" s="1" t="s">
        <v>1</v>
      </c>
      <c r="H292" s="1" t="s">
        <v>44</v>
      </c>
      <c r="I292" s="5" t="s">
        <v>12</v>
      </c>
      <c r="J292" s="5" t="s">
        <v>12</v>
      </c>
      <c r="K292" s="5" t="s">
        <v>12</v>
      </c>
      <c r="L292" s="4">
        <f>0.00000000119*$B$1^-0.6*EXP(58/$B$1)</f>
        <v>3.2188158554124729E-11</v>
      </c>
      <c r="M292" s="139">
        <v>36</v>
      </c>
      <c r="N292" s="139"/>
      <c r="O292" s="9" t="s">
        <v>292</v>
      </c>
      <c r="P292" s="5" t="s">
        <v>12</v>
      </c>
      <c r="Q292" s="5" t="s">
        <v>12</v>
      </c>
      <c r="R292" s="5" t="s">
        <v>12</v>
      </c>
      <c r="S292" s="4">
        <v>2.4000000000000001E-11</v>
      </c>
      <c r="T292" s="81">
        <v>10</v>
      </c>
      <c r="U292" s="55" t="s">
        <v>218</v>
      </c>
      <c r="V292" s="5" t="s">
        <v>12</v>
      </c>
      <c r="W292" s="5" t="s">
        <v>12</v>
      </c>
      <c r="X292" s="5" t="s">
        <v>12</v>
      </c>
      <c r="Y292" s="5" t="s">
        <v>12</v>
      </c>
      <c r="AD292" s="5" t="s">
        <v>12</v>
      </c>
      <c r="AE292" s="5" t="s">
        <v>12</v>
      </c>
      <c r="AF292" s="5" t="s">
        <v>12</v>
      </c>
      <c r="AG292" s="5" t="s">
        <v>12</v>
      </c>
    </row>
    <row r="293" spans="1:35" ht="18" x14ac:dyDescent="0.35">
      <c r="A293" s="8">
        <v>291</v>
      </c>
      <c r="B293" s="1" t="s">
        <v>41</v>
      </c>
      <c r="C293" s="1" t="s">
        <v>1</v>
      </c>
      <c r="D293" s="1" t="s">
        <v>43</v>
      </c>
      <c r="E293" s="2" t="s">
        <v>0</v>
      </c>
      <c r="F293" s="1" t="s">
        <v>44</v>
      </c>
      <c r="G293" s="1" t="s">
        <v>1</v>
      </c>
      <c r="H293" s="1" t="s">
        <v>44</v>
      </c>
      <c r="I293" s="5" t="s">
        <v>12</v>
      </c>
      <c r="J293" s="5" t="s">
        <v>12</v>
      </c>
      <c r="K293" s="5" t="s">
        <v>12</v>
      </c>
      <c r="L293" s="4">
        <v>1.8799999999999999E-11</v>
      </c>
      <c r="M293" s="139">
        <v>155</v>
      </c>
      <c r="N293" s="139"/>
      <c r="O293" s="27" t="s">
        <v>368</v>
      </c>
      <c r="P293" s="5" t="s">
        <v>12</v>
      </c>
      <c r="Q293" s="5" t="s">
        <v>12</v>
      </c>
      <c r="R293" s="5" t="s">
        <v>12</v>
      </c>
      <c r="S293" s="4">
        <f>0.000000000018*($B$1/298)*EXP(910/(8.314*$B$1))</f>
        <v>3.7483481448172093E-11</v>
      </c>
      <c r="T293" s="92">
        <v>75</v>
      </c>
      <c r="U293" s="55" t="s">
        <v>250</v>
      </c>
      <c r="V293" s="5" t="s">
        <v>12</v>
      </c>
      <c r="W293" s="5" t="s">
        <v>12</v>
      </c>
      <c r="X293" s="5" t="s">
        <v>12</v>
      </c>
      <c r="Y293" s="5" t="s">
        <v>12</v>
      </c>
      <c r="AD293" s="5" t="s">
        <v>12</v>
      </c>
      <c r="AE293" s="5" t="s">
        <v>12</v>
      </c>
      <c r="AF293" s="5" t="s">
        <v>12</v>
      </c>
      <c r="AG293" s="5" t="s">
        <v>12</v>
      </c>
    </row>
    <row r="294" spans="1:35" ht="18" x14ac:dyDescent="0.35">
      <c r="A294" s="8">
        <v>292</v>
      </c>
      <c r="B294" s="150" t="s">
        <v>41</v>
      </c>
      <c r="C294" s="137" t="s">
        <v>1</v>
      </c>
      <c r="D294" s="137" t="s">
        <v>44</v>
      </c>
      <c r="E294" s="149" t="s">
        <v>0</v>
      </c>
      <c r="F294" s="1" t="s">
        <v>122</v>
      </c>
      <c r="G294" s="1"/>
      <c r="H294" s="1"/>
      <c r="I294" s="5" t="s">
        <v>12</v>
      </c>
      <c r="J294" s="5" t="s">
        <v>12</v>
      </c>
      <c r="K294" s="5" t="s">
        <v>12</v>
      </c>
      <c r="L294" s="4">
        <f>0.00000000000181*($B$1/298)*EXP(-815/(8.314*$B$1))</f>
        <v>2.485196301818556E-12</v>
      </c>
      <c r="M294" s="139">
        <v>142</v>
      </c>
      <c r="N294" s="139"/>
      <c r="O294" s="9" t="s">
        <v>369</v>
      </c>
      <c r="P294" s="5" t="s">
        <v>12</v>
      </c>
      <c r="Q294" s="5" t="s">
        <v>12</v>
      </c>
      <c r="R294" s="5" t="s">
        <v>12</v>
      </c>
      <c r="S294" s="4">
        <f>0.00000000000201*($B$1/298)^0.2</f>
        <v>2.2275365128226958E-12</v>
      </c>
      <c r="T294" s="92">
        <v>111</v>
      </c>
      <c r="U294" s="55" t="s">
        <v>226</v>
      </c>
      <c r="V294" s="5" t="s">
        <v>12</v>
      </c>
      <c r="W294" s="5" t="s">
        <v>12</v>
      </c>
      <c r="X294" s="5" t="s">
        <v>12</v>
      </c>
      <c r="Y294" s="5" t="s">
        <v>12</v>
      </c>
      <c r="AD294" s="5" t="s">
        <v>12</v>
      </c>
      <c r="AE294" s="5" t="s">
        <v>12</v>
      </c>
      <c r="AF294" s="5" t="s">
        <v>12</v>
      </c>
      <c r="AG294" s="5" t="s">
        <v>12</v>
      </c>
    </row>
    <row r="295" spans="1:35" ht="18" x14ac:dyDescent="0.35">
      <c r="A295" s="8">
        <v>293</v>
      </c>
      <c r="B295" s="150"/>
      <c r="C295" s="137"/>
      <c r="D295" s="137"/>
      <c r="E295" s="149"/>
      <c r="F295" s="1" t="s">
        <v>123</v>
      </c>
      <c r="G295" s="1" t="s">
        <v>1</v>
      </c>
      <c r="H295" s="1" t="s">
        <v>23</v>
      </c>
      <c r="I295" s="5" t="s">
        <v>12</v>
      </c>
      <c r="J295" s="5" t="s">
        <v>12</v>
      </c>
      <c r="K295" s="5" t="s">
        <v>12</v>
      </c>
      <c r="L295" s="4">
        <f>0.0000000000000251*($B$1/298)*EXP(-10060/(8.314*$B$1))</f>
        <v>3.6975626383878898E-15</v>
      </c>
      <c r="M295" s="139">
        <v>155</v>
      </c>
      <c r="N295" s="139"/>
      <c r="O295" s="9" t="s">
        <v>370</v>
      </c>
      <c r="P295" s="5" t="s">
        <v>12</v>
      </c>
      <c r="Q295" s="5" t="s">
        <v>12</v>
      </c>
      <c r="R295" s="5" t="s">
        <v>12</v>
      </c>
      <c r="S295" s="4">
        <f>0.0000000000000951*($B$1/298)*EXP(-11720/(8.314*$B$1))</f>
        <v>9.3832440181428588E-15</v>
      </c>
      <c r="T295" s="92">
        <v>156</v>
      </c>
      <c r="U295" s="55" t="s">
        <v>213</v>
      </c>
      <c r="V295" s="5" t="s">
        <v>12</v>
      </c>
      <c r="W295" s="5" t="s">
        <v>12</v>
      </c>
      <c r="X295" s="5" t="s">
        <v>12</v>
      </c>
      <c r="Y295" s="5" t="s">
        <v>12</v>
      </c>
      <c r="AD295" s="5" t="s">
        <v>12</v>
      </c>
      <c r="AE295" s="5" t="s">
        <v>12</v>
      </c>
      <c r="AF295" s="5" t="s">
        <v>12</v>
      </c>
      <c r="AG295" s="5" t="s">
        <v>12</v>
      </c>
    </row>
    <row r="296" spans="1:35" ht="18" x14ac:dyDescent="0.35">
      <c r="A296" s="8">
        <v>294</v>
      </c>
      <c r="B296" s="1" t="s">
        <v>41</v>
      </c>
      <c r="C296" s="1" t="s">
        <v>1</v>
      </c>
      <c r="D296" s="1" t="s">
        <v>41</v>
      </c>
      <c r="E296" s="2" t="s">
        <v>0</v>
      </c>
      <c r="F296" s="1" t="s">
        <v>121</v>
      </c>
      <c r="G296" s="1" t="s">
        <v>1</v>
      </c>
      <c r="H296" s="1" t="s">
        <v>23</v>
      </c>
      <c r="I296" s="5" t="s">
        <v>12</v>
      </c>
      <c r="J296" s="5" t="s">
        <v>12</v>
      </c>
      <c r="K296" s="5" t="s">
        <v>12</v>
      </c>
      <c r="L296" s="4">
        <f>0.00000000000085*($B$1/298)*EXP(-20370/(8.314*$B$1))</f>
        <v>1.0388274865153318E-14</v>
      </c>
      <c r="M296" s="139">
        <v>20</v>
      </c>
      <c r="N296" s="139"/>
      <c r="O296" s="9" t="s">
        <v>265</v>
      </c>
      <c r="P296" s="5" t="s">
        <v>12</v>
      </c>
      <c r="Q296" s="5" t="s">
        <v>12</v>
      </c>
      <c r="R296" s="5" t="s">
        <v>12</v>
      </c>
      <c r="S296" s="5" t="s">
        <v>12</v>
      </c>
      <c r="T296" s="85"/>
      <c r="V296" s="5" t="s">
        <v>12</v>
      </c>
      <c r="W296" s="5" t="s">
        <v>12</v>
      </c>
      <c r="X296" s="5" t="s">
        <v>12</v>
      </c>
      <c r="Y296" s="5" t="s">
        <v>12</v>
      </c>
      <c r="AD296" s="5" t="s">
        <v>12</v>
      </c>
      <c r="AE296" s="5" t="s">
        <v>12</v>
      </c>
      <c r="AF296" s="5" t="s">
        <v>12</v>
      </c>
      <c r="AG296" s="5" t="s">
        <v>12</v>
      </c>
    </row>
    <row r="297" spans="1:35" ht="18" x14ac:dyDescent="0.35">
      <c r="A297" s="8">
        <v>295</v>
      </c>
      <c r="B297" s="1" t="s">
        <v>41</v>
      </c>
      <c r="C297" s="1" t="s">
        <v>1</v>
      </c>
      <c r="D297" s="1" t="s">
        <v>6</v>
      </c>
      <c r="E297" s="2" t="s">
        <v>0</v>
      </c>
      <c r="F297" s="1" t="s">
        <v>44</v>
      </c>
      <c r="G297" s="1" t="s">
        <v>1</v>
      </c>
      <c r="H297" s="1" t="s">
        <v>7</v>
      </c>
      <c r="I297" s="5" t="s">
        <v>12</v>
      </c>
      <c r="J297" s="5" t="s">
        <v>12</v>
      </c>
      <c r="K297" s="5" t="s">
        <v>12</v>
      </c>
      <c r="L297" s="4">
        <v>2.3200000000000001E-11</v>
      </c>
      <c r="M297" s="139">
        <v>157</v>
      </c>
      <c r="N297" s="139"/>
      <c r="O297" s="9" t="s">
        <v>371</v>
      </c>
      <c r="P297" s="5" t="s">
        <v>12</v>
      </c>
      <c r="Q297" s="5" t="s">
        <v>12</v>
      </c>
      <c r="R297" s="5" t="s">
        <v>12</v>
      </c>
      <c r="S297" s="4">
        <f>0.00000000002</f>
        <v>1.9999999999999999E-11</v>
      </c>
      <c r="T297" s="92">
        <v>75</v>
      </c>
      <c r="U297" s="59" t="s">
        <v>228</v>
      </c>
      <c r="V297" s="5" t="s">
        <v>12</v>
      </c>
      <c r="W297" s="5" t="s">
        <v>12</v>
      </c>
      <c r="X297" s="5" t="s">
        <v>12</v>
      </c>
      <c r="Y297" s="5" t="s">
        <v>12</v>
      </c>
      <c r="AD297" s="5" t="s">
        <v>12</v>
      </c>
      <c r="AE297" s="5" t="s">
        <v>12</v>
      </c>
      <c r="AF297" s="5" t="s">
        <v>12</v>
      </c>
      <c r="AG297" s="5" t="s">
        <v>12</v>
      </c>
    </row>
    <row r="298" spans="1:35" ht="18" x14ac:dyDescent="0.35">
      <c r="A298" s="8">
        <v>296</v>
      </c>
      <c r="B298" s="150" t="s">
        <v>41</v>
      </c>
      <c r="C298" s="137" t="s">
        <v>1</v>
      </c>
      <c r="D298" s="137" t="s">
        <v>7</v>
      </c>
      <c r="E298" s="149" t="s">
        <v>0</v>
      </c>
      <c r="F298" s="1" t="s">
        <v>42</v>
      </c>
      <c r="G298" s="1" t="s">
        <v>1</v>
      </c>
      <c r="H298" s="1" t="s">
        <v>23</v>
      </c>
      <c r="I298" s="5" t="s">
        <v>12</v>
      </c>
      <c r="J298" s="5" t="s">
        <v>12</v>
      </c>
      <c r="K298" s="5" t="s">
        <v>12</v>
      </c>
      <c r="L298" s="4">
        <v>1.9100000000000001E-12</v>
      </c>
      <c r="M298" s="139" t="s">
        <v>597</v>
      </c>
      <c r="N298" s="139"/>
      <c r="O298" s="154" t="s">
        <v>139</v>
      </c>
      <c r="P298" s="5" t="s">
        <v>12</v>
      </c>
      <c r="Q298" s="5" t="s">
        <v>12</v>
      </c>
      <c r="R298" s="5" t="s">
        <v>12</v>
      </c>
      <c r="S298" s="5" t="s">
        <v>12</v>
      </c>
      <c r="T298" s="85"/>
      <c r="V298" s="5" t="s">
        <v>12</v>
      </c>
      <c r="W298" s="5" t="s">
        <v>12</v>
      </c>
      <c r="X298" s="5" t="s">
        <v>12</v>
      </c>
      <c r="Y298" s="5" t="s">
        <v>12</v>
      </c>
      <c r="AD298" s="5" t="s">
        <v>12</v>
      </c>
      <c r="AE298" s="5" t="s">
        <v>12</v>
      </c>
      <c r="AF298" s="5" t="s">
        <v>12</v>
      </c>
      <c r="AG298" s="5" t="s">
        <v>12</v>
      </c>
    </row>
    <row r="299" spans="1:35" ht="18" x14ac:dyDescent="0.35">
      <c r="A299" s="8">
        <v>297</v>
      </c>
      <c r="B299" s="150"/>
      <c r="C299" s="137"/>
      <c r="D299" s="137"/>
      <c r="E299" s="149"/>
      <c r="F299" s="1" t="s">
        <v>44</v>
      </c>
      <c r="G299" s="1" t="s">
        <v>1</v>
      </c>
      <c r="H299" s="1" t="s">
        <v>124</v>
      </c>
      <c r="I299" s="5" t="s">
        <v>12</v>
      </c>
      <c r="J299" s="5" t="s">
        <v>12</v>
      </c>
      <c r="K299" s="5" t="s">
        <v>12</v>
      </c>
      <c r="L299" s="4">
        <v>2.51E-12</v>
      </c>
      <c r="M299" s="139"/>
      <c r="N299" s="139"/>
      <c r="O299" s="154"/>
      <c r="P299" s="5" t="s">
        <v>12</v>
      </c>
      <c r="Q299" s="5" t="s">
        <v>12</v>
      </c>
      <c r="R299" s="5" t="s">
        <v>12</v>
      </c>
      <c r="S299" s="5" t="s">
        <v>12</v>
      </c>
      <c r="T299" s="85"/>
      <c r="V299" s="5" t="s">
        <v>12</v>
      </c>
      <c r="W299" s="5" t="s">
        <v>12</v>
      </c>
      <c r="X299" s="5" t="s">
        <v>12</v>
      </c>
      <c r="Y299" s="5" t="s">
        <v>12</v>
      </c>
      <c r="AD299" s="5" t="s">
        <v>12</v>
      </c>
      <c r="AE299" s="5" t="s">
        <v>12</v>
      </c>
      <c r="AF299" s="5" t="s">
        <v>12</v>
      </c>
      <c r="AG299" s="5" t="s">
        <v>12</v>
      </c>
    </row>
    <row r="300" spans="1:35" ht="18" x14ac:dyDescent="0.35">
      <c r="A300" s="8">
        <v>298</v>
      </c>
      <c r="B300" s="1" t="s">
        <v>41</v>
      </c>
      <c r="C300" s="1" t="s">
        <v>1</v>
      </c>
      <c r="D300" s="1" t="s">
        <v>57</v>
      </c>
      <c r="E300" s="2" t="s">
        <v>0</v>
      </c>
      <c r="F300" s="1" t="s">
        <v>42</v>
      </c>
      <c r="G300" s="1" t="s">
        <v>1</v>
      </c>
      <c r="H300" s="1" t="s">
        <v>7</v>
      </c>
      <c r="I300" s="5" t="s">
        <v>12</v>
      </c>
      <c r="J300" s="5" t="s">
        <v>12</v>
      </c>
      <c r="K300" s="5" t="s">
        <v>12</v>
      </c>
      <c r="L300" s="12" t="s">
        <v>569</v>
      </c>
      <c r="M300" s="139">
        <v>159</v>
      </c>
      <c r="N300" s="139"/>
      <c r="O300" s="27" t="s">
        <v>342</v>
      </c>
      <c r="P300" s="5" t="s">
        <v>12</v>
      </c>
      <c r="Q300" s="5" t="s">
        <v>12</v>
      </c>
      <c r="R300" s="5" t="s">
        <v>12</v>
      </c>
      <c r="S300" s="5" t="s">
        <v>12</v>
      </c>
      <c r="T300" s="85"/>
      <c r="V300" s="5" t="s">
        <v>12</v>
      </c>
      <c r="W300" s="5" t="s">
        <v>12</v>
      </c>
      <c r="X300" s="5" t="s">
        <v>12</v>
      </c>
      <c r="Y300" s="5" t="s">
        <v>12</v>
      </c>
      <c r="AD300" s="5" t="s">
        <v>12</v>
      </c>
      <c r="AE300" s="5" t="s">
        <v>12</v>
      </c>
      <c r="AF300" s="5" t="s">
        <v>12</v>
      </c>
      <c r="AG300" s="5" t="s">
        <v>12</v>
      </c>
    </row>
    <row r="301" spans="1:35" ht="18" x14ac:dyDescent="0.35">
      <c r="A301" s="8">
        <v>299</v>
      </c>
      <c r="B301" s="1" t="s">
        <v>41</v>
      </c>
      <c r="C301" s="1" t="s">
        <v>1</v>
      </c>
      <c r="D301" s="1" t="s">
        <v>14</v>
      </c>
      <c r="E301" s="2" t="s">
        <v>0</v>
      </c>
      <c r="F301" s="1" t="s">
        <v>44</v>
      </c>
      <c r="G301" s="1" t="s">
        <v>1</v>
      </c>
      <c r="H301" s="1" t="s">
        <v>23</v>
      </c>
      <c r="I301" s="5" t="s">
        <v>12</v>
      </c>
      <c r="J301" s="5" t="s">
        <v>12</v>
      </c>
      <c r="K301" s="5" t="s">
        <v>12</v>
      </c>
      <c r="L301" s="4">
        <v>9.9999999999999994E-12</v>
      </c>
      <c r="M301" s="139">
        <v>20</v>
      </c>
      <c r="N301" s="139"/>
      <c r="O301" s="9" t="s">
        <v>265</v>
      </c>
      <c r="P301" s="5" t="s">
        <v>12</v>
      </c>
      <c r="Q301" s="5" t="s">
        <v>12</v>
      </c>
      <c r="R301" s="5" t="s">
        <v>12</v>
      </c>
      <c r="S301" s="5" t="s">
        <v>12</v>
      </c>
      <c r="T301" s="85"/>
      <c r="V301" s="5" t="s">
        <v>12</v>
      </c>
      <c r="W301" s="5" t="s">
        <v>12</v>
      </c>
      <c r="X301" s="5" t="s">
        <v>12</v>
      </c>
      <c r="Y301" s="5" t="s">
        <v>12</v>
      </c>
      <c r="AD301" s="5" t="s">
        <v>12</v>
      </c>
      <c r="AE301" s="5" t="s">
        <v>12</v>
      </c>
      <c r="AF301" s="5" t="s">
        <v>12</v>
      </c>
      <c r="AG301" s="5" t="s">
        <v>12</v>
      </c>
    </row>
    <row r="302" spans="1:35" ht="18" x14ac:dyDescent="0.35">
      <c r="A302" s="8">
        <v>300</v>
      </c>
      <c r="B302" s="1" t="s">
        <v>41</v>
      </c>
      <c r="C302" s="1" t="s">
        <v>1</v>
      </c>
      <c r="D302" s="1" t="s">
        <v>29</v>
      </c>
      <c r="E302" s="2" t="s">
        <v>0</v>
      </c>
      <c r="F302" s="1" t="s">
        <v>44</v>
      </c>
      <c r="G302" s="1" t="s">
        <v>1</v>
      </c>
      <c r="H302" s="1" t="s">
        <v>6</v>
      </c>
      <c r="I302" s="5" t="s">
        <v>12</v>
      </c>
      <c r="J302" s="5" t="s">
        <v>12</v>
      </c>
      <c r="K302" s="5" t="s">
        <v>12</v>
      </c>
      <c r="L302" s="4">
        <v>1.0999999999999999E-10</v>
      </c>
      <c r="M302" s="139">
        <v>157</v>
      </c>
      <c r="N302" s="139"/>
      <c r="O302" s="9" t="s">
        <v>372</v>
      </c>
      <c r="P302" s="5" t="s">
        <v>12</v>
      </c>
      <c r="Q302" s="5" t="s">
        <v>12</v>
      </c>
      <c r="R302" s="5" t="s">
        <v>12</v>
      </c>
      <c r="S302" s="5" t="s">
        <v>12</v>
      </c>
      <c r="T302" s="85"/>
      <c r="V302" s="5" t="s">
        <v>12</v>
      </c>
      <c r="W302" s="5" t="s">
        <v>12</v>
      </c>
      <c r="X302" s="5" t="s">
        <v>12</v>
      </c>
      <c r="Y302" s="5" t="s">
        <v>12</v>
      </c>
      <c r="AD302" s="5" t="s">
        <v>12</v>
      </c>
      <c r="AE302" s="5" t="s">
        <v>12</v>
      </c>
      <c r="AF302" s="5" t="s">
        <v>12</v>
      </c>
      <c r="AG302" s="5" t="s">
        <v>12</v>
      </c>
    </row>
    <row r="303" spans="1:35" x14ac:dyDescent="0.25">
      <c r="A303" s="8">
        <v>301</v>
      </c>
      <c r="B303" s="33" t="s">
        <v>6</v>
      </c>
      <c r="E303" s="2" t="s">
        <v>0</v>
      </c>
      <c r="F303" s="33" t="s">
        <v>14</v>
      </c>
      <c r="G303" s="1" t="s">
        <v>1</v>
      </c>
      <c r="H303" s="1" t="s">
        <v>29</v>
      </c>
      <c r="I303" s="5" t="s">
        <v>12</v>
      </c>
      <c r="J303" s="5" t="s">
        <v>12</v>
      </c>
      <c r="K303" s="5" t="s">
        <v>12</v>
      </c>
      <c r="L303" s="4">
        <f>0.000000004*($B$1/298)*EXP(-416000/(8.314*$B$1))</f>
        <v>1.5959219370007771E-52</v>
      </c>
      <c r="M303" s="139">
        <v>160</v>
      </c>
      <c r="N303" s="139"/>
      <c r="O303" s="8" t="s">
        <v>345</v>
      </c>
      <c r="P303" s="5" t="s">
        <v>12</v>
      </c>
      <c r="Q303" s="5" t="s">
        <v>12</v>
      </c>
      <c r="R303" s="5" t="s">
        <v>12</v>
      </c>
      <c r="S303" s="5" t="s">
        <v>12</v>
      </c>
      <c r="V303" s="5" t="s">
        <v>12</v>
      </c>
      <c r="W303" s="5" t="s">
        <v>12</v>
      </c>
      <c r="X303" s="5" t="s">
        <v>12</v>
      </c>
      <c r="Y303" s="5" t="s">
        <v>12</v>
      </c>
      <c r="AD303" s="5" t="s">
        <v>12</v>
      </c>
      <c r="AE303" s="5" t="s">
        <v>12</v>
      </c>
      <c r="AF303" s="5" t="s">
        <v>12</v>
      </c>
      <c r="AG303" s="5" t="s">
        <v>12</v>
      </c>
    </row>
    <row r="304" spans="1:35" ht="18" x14ac:dyDescent="0.35">
      <c r="A304" s="8">
        <v>302</v>
      </c>
      <c r="B304" s="151" t="s">
        <v>6</v>
      </c>
      <c r="C304" s="137" t="s">
        <v>1</v>
      </c>
      <c r="D304" s="137" t="s">
        <v>6</v>
      </c>
      <c r="E304" s="149" t="s">
        <v>0</v>
      </c>
      <c r="F304" s="33" t="s">
        <v>32</v>
      </c>
      <c r="G304" s="1" t="s">
        <v>1</v>
      </c>
      <c r="H304" s="1" t="s">
        <v>14</v>
      </c>
      <c r="I304" s="5" t="s">
        <v>12</v>
      </c>
      <c r="J304" s="5" t="s">
        <v>12</v>
      </c>
      <c r="K304" s="5" t="s">
        <v>12</v>
      </c>
      <c r="L304" s="4">
        <f>0.00000000000598*($B$1/298)^0.83*EXP(-3159/(8.314*$B$1))</f>
        <v>4.2722294989535434E-12</v>
      </c>
      <c r="M304" s="139">
        <v>161</v>
      </c>
      <c r="N304" s="139"/>
      <c r="O304" s="143" t="s">
        <v>190</v>
      </c>
      <c r="P304" s="5" t="s">
        <v>12</v>
      </c>
      <c r="Q304" s="5" t="s">
        <v>12</v>
      </c>
      <c r="R304" s="5" t="s">
        <v>12</v>
      </c>
      <c r="S304" s="4">
        <f>0.0000000000000789*($B$1/298)^2.6*EXP(7857/(8.314*$B$1))</f>
        <v>2.0005262299318455E-12</v>
      </c>
      <c r="T304" s="92">
        <v>111</v>
      </c>
      <c r="U304" s="55" t="s">
        <v>226</v>
      </c>
      <c r="V304" s="5" t="s">
        <v>12</v>
      </c>
      <c r="W304" s="5" t="s">
        <v>12</v>
      </c>
      <c r="X304" s="5" t="s">
        <v>12</v>
      </c>
      <c r="Y304" s="5" t="s">
        <v>12</v>
      </c>
      <c r="AD304" s="5" t="s">
        <v>12</v>
      </c>
      <c r="AE304" s="5" t="s">
        <v>12</v>
      </c>
      <c r="AF304" s="5" t="s">
        <v>12</v>
      </c>
      <c r="AG304" s="5" t="s">
        <v>12</v>
      </c>
    </row>
    <row r="305" spans="1:35" ht="18" x14ac:dyDescent="0.35">
      <c r="A305" s="8">
        <v>303</v>
      </c>
      <c r="B305" s="151"/>
      <c r="C305" s="137"/>
      <c r="D305" s="137"/>
      <c r="E305" s="149"/>
      <c r="F305" s="33" t="s">
        <v>31</v>
      </c>
      <c r="G305" s="1" t="s">
        <v>1</v>
      </c>
      <c r="H305" s="33" t="s">
        <v>23</v>
      </c>
      <c r="I305" s="5" t="s">
        <v>12</v>
      </c>
      <c r="J305" s="5" t="s">
        <v>12</v>
      </c>
      <c r="K305" s="5" t="s">
        <v>12</v>
      </c>
      <c r="L305" s="4">
        <f>0.00000000000315*($B$1/298)^0.54*EXP(-214500/(8.314*$B$1))</f>
        <v>1.336950665524316E-34</v>
      </c>
      <c r="M305" s="139"/>
      <c r="N305" s="139"/>
      <c r="O305" s="143"/>
      <c r="P305" s="5" t="s">
        <v>12</v>
      </c>
      <c r="Q305" s="5" t="s">
        <v>12</v>
      </c>
      <c r="R305" s="5" t="s">
        <v>12</v>
      </c>
      <c r="S305" s="5" t="s">
        <v>12</v>
      </c>
      <c r="V305" s="5" t="s">
        <v>12</v>
      </c>
      <c r="W305" s="5" t="s">
        <v>12</v>
      </c>
      <c r="X305" s="5" t="s">
        <v>12</v>
      </c>
      <c r="Y305" s="5" t="s">
        <v>12</v>
      </c>
      <c r="AD305" s="5" t="s">
        <v>12</v>
      </c>
      <c r="AE305" s="5" t="s">
        <v>12</v>
      </c>
      <c r="AF305" s="5" t="s">
        <v>12</v>
      </c>
      <c r="AG305" s="5" t="s">
        <v>12</v>
      </c>
    </row>
    <row r="306" spans="1:35" ht="18" x14ac:dyDescent="0.35">
      <c r="A306" s="8">
        <v>304</v>
      </c>
      <c r="B306" s="1" t="s">
        <v>7</v>
      </c>
      <c r="E306" s="2" t="s">
        <v>0</v>
      </c>
      <c r="F306" s="33" t="s">
        <v>23</v>
      </c>
      <c r="G306" s="33" t="s">
        <v>1</v>
      </c>
      <c r="H306" s="33" t="s">
        <v>29</v>
      </c>
      <c r="I306" s="5" t="s">
        <v>12</v>
      </c>
      <c r="J306" s="5" t="s">
        <v>12</v>
      </c>
      <c r="K306" s="5" t="s">
        <v>12</v>
      </c>
      <c r="L306" s="4">
        <f>0.0000000241*($B$1/298)^-1.18*EXP(-203000/(8.314*$B$1))</f>
        <v>6.790728409076497E-30</v>
      </c>
      <c r="M306" s="139">
        <v>160</v>
      </c>
      <c r="N306" s="139"/>
      <c r="O306" s="8" t="s">
        <v>373</v>
      </c>
      <c r="P306" s="5" t="s">
        <v>12</v>
      </c>
      <c r="Q306" s="5" t="s">
        <v>12</v>
      </c>
      <c r="R306" s="5" t="s">
        <v>12</v>
      </c>
      <c r="S306" s="5" t="s">
        <v>12</v>
      </c>
      <c r="V306" s="5" t="s">
        <v>12</v>
      </c>
      <c r="W306" s="5" t="s">
        <v>12</v>
      </c>
      <c r="X306" s="5" t="s">
        <v>12</v>
      </c>
      <c r="Y306" s="5" t="s">
        <v>12</v>
      </c>
      <c r="AD306" s="5" t="s">
        <v>12</v>
      </c>
      <c r="AE306" s="5" t="s">
        <v>12</v>
      </c>
      <c r="AF306" s="5" t="s">
        <v>12</v>
      </c>
      <c r="AG306" s="5" t="s">
        <v>12</v>
      </c>
    </row>
    <row r="307" spans="1:35" ht="18" x14ac:dyDescent="0.35">
      <c r="A307" s="8">
        <v>305</v>
      </c>
      <c r="B307" s="1" t="s">
        <v>7</v>
      </c>
      <c r="C307" s="1" t="s">
        <v>1</v>
      </c>
      <c r="D307" s="1" t="s">
        <v>6</v>
      </c>
      <c r="E307" s="2" t="s">
        <v>0</v>
      </c>
      <c r="F307" s="33" t="s">
        <v>32</v>
      </c>
      <c r="G307" s="33" t="s">
        <v>1</v>
      </c>
      <c r="H307" s="33" t="s">
        <v>23</v>
      </c>
      <c r="I307" s="5" t="s">
        <v>12</v>
      </c>
      <c r="J307" s="5" t="s">
        <v>12</v>
      </c>
      <c r="K307" s="5" t="s">
        <v>12</v>
      </c>
      <c r="L307" s="4">
        <f>0.0000000000711*($B$1/298)^-0.21*EXP(466/(8.314*$B$1))</f>
        <v>7.142901019628319E-11</v>
      </c>
      <c r="M307" s="139">
        <v>162</v>
      </c>
      <c r="N307" s="139"/>
      <c r="O307" s="8" t="s">
        <v>188</v>
      </c>
      <c r="P307" s="5" t="s">
        <v>12</v>
      </c>
      <c r="Q307" s="5" t="s">
        <v>12</v>
      </c>
      <c r="R307" s="5" t="s">
        <v>12</v>
      </c>
      <c r="S307" s="4">
        <f>0.000000000048*($B$1/298)*EXP(2079/(8.314*$B$1))</f>
        <v>1.3255350258876241E-10</v>
      </c>
      <c r="T307" s="92">
        <v>75</v>
      </c>
      <c r="U307" s="55" t="s">
        <v>251</v>
      </c>
      <c r="V307" s="5" t="s">
        <v>12</v>
      </c>
      <c r="W307" s="5" t="s">
        <v>12</v>
      </c>
      <c r="X307" s="5" t="s">
        <v>12</v>
      </c>
      <c r="Y307" s="5" t="s">
        <v>12</v>
      </c>
      <c r="AD307" s="5" t="s">
        <v>12</v>
      </c>
      <c r="AE307" s="5" t="s">
        <v>12</v>
      </c>
      <c r="AF307" s="5" t="s">
        <v>12</v>
      </c>
      <c r="AG307" s="5" t="s">
        <v>12</v>
      </c>
    </row>
    <row r="308" spans="1:35" ht="18" x14ac:dyDescent="0.35">
      <c r="A308" s="8">
        <v>306</v>
      </c>
      <c r="B308" s="1" t="s">
        <v>7</v>
      </c>
      <c r="C308" s="1" t="s">
        <v>1</v>
      </c>
      <c r="D308" s="1" t="s">
        <v>7</v>
      </c>
      <c r="E308" s="2" t="s">
        <v>0</v>
      </c>
      <c r="F308" s="33" t="s">
        <v>57</v>
      </c>
      <c r="G308" s="33" t="s">
        <v>1</v>
      </c>
      <c r="H308" s="33" t="s">
        <v>23</v>
      </c>
      <c r="I308" s="5" t="s">
        <v>12</v>
      </c>
      <c r="J308" s="5" t="s">
        <v>12</v>
      </c>
      <c r="K308" s="5" t="s">
        <v>12</v>
      </c>
      <c r="L308" s="4">
        <f>0.00000000000000197*($B$1)^0.771*EXP(918/$B$1)+0.00000000000209*($B$1)^0.295*EXP(-3725/$B$1)</f>
        <v>1.5017503907450073E-12</v>
      </c>
      <c r="M308" s="139">
        <v>163</v>
      </c>
      <c r="N308" s="139"/>
      <c r="O308" s="8" t="s">
        <v>163</v>
      </c>
      <c r="P308" s="5" t="s">
        <v>12</v>
      </c>
      <c r="Q308" s="5" t="s">
        <v>12</v>
      </c>
      <c r="R308" s="5" t="s">
        <v>12</v>
      </c>
      <c r="S308" s="4">
        <f>0.000000000172*EXP(-5556/$B$1)+0.000000000000323*EXP(709/$B$1)</f>
        <v>1.3431259575530563E-12</v>
      </c>
      <c r="T308" s="80">
        <v>164</v>
      </c>
      <c r="U308" s="55" t="s">
        <v>214</v>
      </c>
      <c r="V308" s="5" t="s">
        <v>12</v>
      </c>
      <c r="W308" s="5" t="s">
        <v>12</v>
      </c>
      <c r="X308" s="5" t="s">
        <v>12</v>
      </c>
      <c r="Y308" s="4">
        <f>0.00000000009*($B$1/298)*EXP(-166000/(8.314*$B$1))</f>
        <v>5.894594148190656E-28</v>
      </c>
      <c r="Z308" s="139">
        <v>160</v>
      </c>
      <c r="AA308" s="139"/>
      <c r="AB308" s="26" t="s">
        <v>243</v>
      </c>
      <c r="AD308" s="5" t="s">
        <v>12</v>
      </c>
      <c r="AE308" s="5" t="s">
        <v>12</v>
      </c>
      <c r="AF308" s="5" t="s">
        <v>12</v>
      </c>
      <c r="AG308" s="5" t="s">
        <v>12</v>
      </c>
    </row>
    <row r="309" spans="1:35" ht="18" x14ac:dyDescent="0.35">
      <c r="A309" s="8">
        <v>307</v>
      </c>
      <c r="B309" s="1" t="s">
        <v>7</v>
      </c>
      <c r="C309" s="1" t="s">
        <v>1</v>
      </c>
      <c r="D309" s="1" t="s">
        <v>14</v>
      </c>
      <c r="E309" s="2" t="s">
        <v>0</v>
      </c>
      <c r="F309" s="1" t="s">
        <v>6</v>
      </c>
      <c r="G309" s="33" t="s">
        <v>1</v>
      </c>
      <c r="H309" s="33" t="s">
        <v>23</v>
      </c>
      <c r="I309" s="5" t="s">
        <v>12</v>
      </c>
      <c r="J309" s="5" t="s">
        <v>12</v>
      </c>
      <c r="K309" s="5" t="s">
        <v>12</v>
      </c>
      <c r="L309" s="4">
        <f>0.0000000000136*($B$1/298)^0.75</f>
        <v>1.9993867573900697E-11</v>
      </c>
      <c r="M309" s="139">
        <v>165</v>
      </c>
      <c r="N309" s="139"/>
      <c r="O309" s="8" t="s">
        <v>307</v>
      </c>
      <c r="P309" s="5" t="s">
        <v>12</v>
      </c>
      <c r="Q309" s="5" t="s">
        <v>12</v>
      </c>
      <c r="R309" s="5" t="s">
        <v>12</v>
      </c>
      <c r="S309" s="4">
        <f>0.000000000027*($B$1/298)*EXP(1862/(8.314*$B$1))</f>
        <v>7.0755285765161113E-11</v>
      </c>
      <c r="T309" s="92">
        <v>75</v>
      </c>
      <c r="U309" s="55" t="s">
        <v>252</v>
      </c>
      <c r="V309" s="5" t="s">
        <v>12</v>
      </c>
      <c r="W309" s="5" t="s">
        <v>12</v>
      </c>
      <c r="X309" s="5" t="s">
        <v>12</v>
      </c>
      <c r="Y309" s="5" t="s">
        <v>12</v>
      </c>
      <c r="AD309" s="5" t="s">
        <v>12</v>
      </c>
      <c r="AE309" s="5" t="s">
        <v>12</v>
      </c>
      <c r="AF309" s="5" t="s">
        <v>12</v>
      </c>
      <c r="AG309" s="5" t="s">
        <v>12</v>
      </c>
    </row>
    <row r="310" spans="1:35" ht="18" x14ac:dyDescent="0.35">
      <c r="A310" s="8">
        <v>308</v>
      </c>
      <c r="B310" s="150" t="s">
        <v>7</v>
      </c>
      <c r="C310" s="137" t="s">
        <v>1</v>
      </c>
      <c r="D310" s="137" t="s">
        <v>29</v>
      </c>
      <c r="E310" s="149" t="s">
        <v>0</v>
      </c>
      <c r="F310" s="33" t="s">
        <v>131</v>
      </c>
      <c r="I310" s="5" t="s">
        <v>12</v>
      </c>
      <c r="J310" s="5" t="s">
        <v>12</v>
      </c>
      <c r="K310" s="5" t="s">
        <v>12</v>
      </c>
      <c r="L310" s="4">
        <v>2.32E-19</v>
      </c>
      <c r="M310" s="139">
        <v>166</v>
      </c>
      <c r="N310" s="139"/>
      <c r="O310" s="143" t="s">
        <v>157</v>
      </c>
      <c r="P310" s="5" t="s">
        <v>12</v>
      </c>
      <c r="Q310" s="5" t="s">
        <v>12</v>
      </c>
      <c r="R310" s="5" t="s">
        <v>12</v>
      </c>
      <c r="S310" s="5" t="s">
        <v>12</v>
      </c>
      <c r="V310" s="5" t="s">
        <v>12</v>
      </c>
      <c r="W310" s="5" t="s">
        <v>12</v>
      </c>
      <c r="X310" s="5" t="s">
        <v>12</v>
      </c>
      <c r="Y310" s="5" t="s">
        <v>12</v>
      </c>
      <c r="AD310" s="5" t="s">
        <v>12</v>
      </c>
      <c r="AE310" s="5" t="s">
        <v>12</v>
      </c>
      <c r="AF310" s="5" t="s">
        <v>12</v>
      </c>
      <c r="AG310" s="5" t="s">
        <v>12</v>
      </c>
    </row>
    <row r="311" spans="1:35" ht="18" x14ac:dyDescent="0.35">
      <c r="A311" s="8">
        <v>309</v>
      </c>
      <c r="B311" s="150"/>
      <c r="C311" s="137"/>
      <c r="D311" s="137"/>
      <c r="E311" s="149"/>
      <c r="F311" s="33" t="s">
        <v>31</v>
      </c>
      <c r="G311" s="33" t="s">
        <v>1</v>
      </c>
      <c r="H311" s="33" t="s">
        <v>23</v>
      </c>
      <c r="I311" s="5" t="s">
        <v>12</v>
      </c>
      <c r="J311" s="5" t="s">
        <v>12</v>
      </c>
      <c r="K311" s="5" t="s">
        <v>12</v>
      </c>
      <c r="L311" s="4">
        <f>0.00000000000556*($B$1/298)^1.72*EXP(4840/(8.314*$B$1))</f>
        <v>4.3292202147187359E-11</v>
      </c>
      <c r="M311" s="139"/>
      <c r="N311" s="139"/>
      <c r="O311" s="143"/>
      <c r="P311" s="5" t="s">
        <v>12</v>
      </c>
      <c r="Q311" s="5" t="s">
        <v>12</v>
      </c>
      <c r="R311" s="5" t="s">
        <v>12</v>
      </c>
      <c r="S311" s="4">
        <f>0.0000000000711*($B$1/298)*EXP(-5903/(8.314*$B$1))</f>
        <v>2.857713971985784E-11</v>
      </c>
      <c r="T311" s="92" t="s">
        <v>521</v>
      </c>
      <c r="U311" s="55" t="s">
        <v>253</v>
      </c>
      <c r="V311" s="5" t="s">
        <v>12</v>
      </c>
      <c r="W311" s="5" t="s">
        <v>12</v>
      </c>
      <c r="X311" s="5" t="s">
        <v>12</v>
      </c>
      <c r="Y311" s="5" t="s">
        <v>12</v>
      </c>
      <c r="AD311" s="5" t="s">
        <v>12</v>
      </c>
      <c r="AE311" s="5" t="s">
        <v>12</v>
      </c>
      <c r="AF311" s="5" t="s">
        <v>12</v>
      </c>
      <c r="AG311" s="5" t="s">
        <v>12</v>
      </c>
    </row>
    <row r="312" spans="1:35" ht="18" x14ac:dyDescent="0.35">
      <c r="B312" s="150"/>
      <c r="C312" s="137"/>
      <c r="D312" s="137"/>
      <c r="E312" s="149"/>
      <c r="F312" s="33" t="s">
        <v>31</v>
      </c>
      <c r="G312" s="33" t="s">
        <v>1</v>
      </c>
      <c r="H312" s="33" t="s">
        <v>605</v>
      </c>
      <c r="I312" s="5" t="s">
        <v>12</v>
      </c>
      <c r="J312" s="5" t="s">
        <v>12</v>
      </c>
      <c r="K312" s="5" t="s">
        <v>12</v>
      </c>
      <c r="L312" s="4">
        <f>0.00000000000296*($B$1/298)^1.63*EXP(-16870/(8.314*$B$1))</f>
        <v>1.164154154715658E-13</v>
      </c>
      <c r="M312" s="139"/>
      <c r="N312" s="139"/>
      <c r="O312" s="143"/>
      <c r="P312" s="5"/>
      <c r="Q312" s="5"/>
      <c r="R312" s="5"/>
      <c r="S312" s="4"/>
      <c r="T312" s="92"/>
      <c r="V312" s="5"/>
      <c r="W312" s="5"/>
      <c r="X312" s="5"/>
      <c r="Y312" s="5"/>
      <c r="Z312" s="84"/>
      <c r="AA312" s="84"/>
      <c r="AD312" s="5"/>
      <c r="AE312" s="5"/>
      <c r="AF312" s="5"/>
      <c r="AG312" s="5"/>
      <c r="AH312" s="84"/>
    </row>
    <row r="313" spans="1:35" ht="18.75" x14ac:dyDescent="0.35">
      <c r="A313" s="8">
        <v>310</v>
      </c>
      <c r="B313" s="150"/>
      <c r="C313" s="137"/>
      <c r="D313" s="137"/>
      <c r="E313" s="149"/>
      <c r="F313" s="33" t="s">
        <v>32</v>
      </c>
      <c r="G313" s="33" t="s">
        <v>1</v>
      </c>
      <c r="H313" s="33" t="s">
        <v>126</v>
      </c>
      <c r="I313" s="5" t="s">
        <v>12</v>
      </c>
      <c r="J313" s="5" t="s">
        <v>12</v>
      </c>
      <c r="K313" s="5" t="s">
        <v>12</v>
      </c>
      <c r="L313" s="4">
        <f>0.00000000000329*($B$1/298)^1.55*EXP(670/(8.314*$B$1))</f>
        <v>8.5768100810017759E-12</v>
      </c>
      <c r="M313" s="139"/>
      <c r="N313" s="139"/>
      <c r="O313" s="143"/>
      <c r="P313" s="5" t="s">
        <v>12</v>
      </c>
      <c r="Q313" s="5" t="s">
        <v>12</v>
      </c>
      <c r="R313" s="5" t="s">
        <v>12</v>
      </c>
      <c r="S313" s="5" t="s">
        <v>12</v>
      </c>
      <c r="V313" s="5" t="s">
        <v>12</v>
      </c>
      <c r="W313" s="5" t="s">
        <v>12</v>
      </c>
      <c r="X313" s="5" t="s">
        <v>12</v>
      </c>
      <c r="Y313" s="5" t="s">
        <v>12</v>
      </c>
      <c r="AD313" s="5" t="s">
        <v>12</v>
      </c>
      <c r="AE313" s="5" t="s">
        <v>12</v>
      </c>
      <c r="AF313" s="5" t="s">
        <v>12</v>
      </c>
      <c r="AG313" s="5" t="s">
        <v>12</v>
      </c>
    </row>
    <row r="314" spans="1:35" x14ac:dyDescent="0.25">
      <c r="A314" s="8">
        <v>311</v>
      </c>
      <c r="B314" s="150"/>
      <c r="C314" s="137"/>
      <c r="D314" s="137"/>
      <c r="E314" s="149"/>
      <c r="F314" s="33" t="s">
        <v>6</v>
      </c>
      <c r="G314" s="33" t="s">
        <v>1</v>
      </c>
      <c r="H314" s="35" t="s">
        <v>6</v>
      </c>
      <c r="I314" s="5" t="s">
        <v>12</v>
      </c>
      <c r="J314" s="5" t="s">
        <v>12</v>
      </c>
      <c r="K314" s="5" t="s">
        <v>12</v>
      </c>
      <c r="L314" s="4">
        <f>0.000000000055*($B$1/298)^0.88*EXP(270/(8.314*$B$1))</f>
        <v>9.2266017642018122E-11</v>
      </c>
      <c r="M314" s="139"/>
      <c r="N314" s="139"/>
      <c r="O314" s="143"/>
      <c r="P314" s="5" t="s">
        <v>12</v>
      </c>
      <c r="Q314" s="5" t="s">
        <v>12</v>
      </c>
      <c r="R314" s="5" t="s">
        <v>12</v>
      </c>
      <c r="S314" s="4">
        <f>0.000000000281*($B$1/298)*EXP(-3658/(8.314*$B$1))</f>
        <v>1.9420862340091524E-10</v>
      </c>
      <c r="T314" s="92" t="s">
        <v>521</v>
      </c>
      <c r="U314" s="55" t="s">
        <v>253</v>
      </c>
      <c r="V314" s="5" t="s">
        <v>12</v>
      </c>
      <c r="W314" s="5" t="s">
        <v>12</v>
      </c>
      <c r="X314" s="5" t="s">
        <v>12</v>
      </c>
      <c r="Y314" s="4">
        <f>0.00000000000332*($B$1/298)^0.51*EXP(-211000/(8.314*$B$1))</f>
        <v>3.2304441122995132E-34</v>
      </c>
      <c r="Z314" s="139">
        <v>161</v>
      </c>
      <c r="AA314" s="139"/>
      <c r="AB314" s="26" t="s">
        <v>190</v>
      </c>
      <c r="AD314" s="5" t="s">
        <v>12</v>
      </c>
      <c r="AE314" s="5" t="s">
        <v>12</v>
      </c>
      <c r="AF314" s="5" t="s">
        <v>12</v>
      </c>
      <c r="AG314" s="5" t="s">
        <v>12</v>
      </c>
    </row>
    <row r="315" spans="1:35" ht="18" x14ac:dyDescent="0.35">
      <c r="A315" s="8">
        <v>312</v>
      </c>
      <c r="B315" s="150"/>
      <c r="C315" s="137"/>
      <c r="D315" s="137"/>
      <c r="E315" s="149"/>
      <c r="F315" s="33" t="s">
        <v>32</v>
      </c>
      <c r="G315" s="33" t="s">
        <v>1</v>
      </c>
      <c r="H315" s="33" t="s">
        <v>14</v>
      </c>
      <c r="I315" s="5" t="s">
        <v>12</v>
      </c>
      <c r="J315" s="5" t="s">
        <v>12</v>
      </c>
      <c r="K315" s="5" t="s">
        <v>12</v>
      </c>
      <c r="L315" s="4">
        <f>0.00000000000655*($B$1/298)^1.47*EXP(-58100/(8.314*$B$1))</f>
        <v>1.1267729817896632E-17</v>
      </c>
      <c r="M315" s="139"/>
      <c r="N315" s="139"/>
      <c r="O315" s="143"/>
      <c r="P315" s="5" t="s">
        <v>12</v>
      </c>
      <c r="Q315" s="5" t="s">
        <v>12</v>
      </c>
      <c r="R315" s="5" t="s">
        <v>12</v>
      </c>
      <c r="S315" s="4">
        <f>0.00000000005*($B$1/298)*EXP(-7200/(8.314*$B$1))</f>
        <v>1.4693132473737748E-11</v>
      </c>
      <c r="T315" s="92" t="s">
        <v>521</v>
      </c>
      <c r="U315" s="55" t="s">
        <v>253</v>
      </c>
      <c r="V315" s="5" t="s">
        <v>12</v>
      </c>
      <c r="W315" s="5" t="s">
        <v>12</v>
      </c>
      <c r="X315" s="5" t="s">
        <v>12</v>
      </c>
      <c r="Y315" s="5" t="s">
        <v>12</v>
      </c>
      <c r="AD315" s="5" t="s">
        <v>12</v>
      </c>
      <c r="AE315" s="5" t="s">
        <v>12</v>
      </c>
      <c r="AF315" s="5" t="s">
        <v>12</v>
      </c>
      <c r="AG315" s="5" t="s">
        <v>12</v>
      </c>
    </row>
    <row r="316" spans="1:35" ht="18" x14ac:dyDescent="0.35">
      <c r="A316" s="8">
        <v>313</v>
      </c>
      <c r="B316" s="33" t="s">
        <v>57</v>
      </c>
      <c r="E316" s="2" t="s">
        <v>0</v>
      </c>
      <c r="F316" s="33" t="s">
        <v>6</v>
      </c>
      <c r="G316" s="33" t="s">
        <v>1</v>
      </c>
      <c r="H316" s="33" t="s">
        <v>6</v>
      </c>
      <c r="I316" s="5" t="s">
        <v>12</v>
      </c>
      <c r="J316" s="5" t="s">
        <v>12</v>
      </c>
      <c r="K316" s="5" t="s">
        <v>12</v>
      </c>
      <c r="L316" s="4">
        <f>0.00000842*($B$1/298)^-2.3*EXP(-204000/(8.314*$B$1))</f>
        <v>1.0481639925852648E-27</v>
      </c>
      <c r="M316" s="139">
        <v>167</v>
      </c>
      <c r="N316" s="139"/>
      <c r="O316" s="8" t="s">
        <v>374</v>
      </c>
      <c r="P316" s="5" t="s">
        <v>12</v>
      </c>
      <c r="Q316" s="5" t="s">
        <v>12</v>
      </c>
      <c r="R316" s="5" t="s">
        <v>12</v>
      </c>
      <c r="S316" s="4">
        <f>0.00203*($B$1/298)^-4.86*EXP(-223000/(8.314*$B$1))</f>
        <v>6.9024796259245715E-28</v>
      </c>
      <c r="T316" s="80">
        <v>160</v>
      </c>
      <c r="U316" s="55" t="s">
        <v>233</v>
      </c>
      <c r="V316" s="5" t="s">
        <v>12</v>
      </c>
      <c r="W316" s="5" t="s">
        <v>12</v>
      </c>
      <c r="X316" s="5" t="s">
        <v>12</v>
      </c>
      <c r="Y316" s="4">
        <f>0.000000000381*($B$1/298)^-0.5</f>
        <v>2.9468161435557028E-10</v>
      </c>
      <c r="Z316" s="139">
        <v>167</v>
      </c>
      <c r="AA316" s="139"/>
      <c r="AB316" s="26" t="s">
        <v>191</v>
      </c>
      <c r="AD316" s="5" t="s">
        <v>12</v>
      </c>
      <c r="AE316" s="5" t="s">
        <v>12</v>
      </c>
      <c r="AF316" s="5" t="s">
        <v>12</v>
      </c>
      <c r="AG316" s="4">
        <v>2.6000000000000001E-11</v>
      </c>
      <c r="AH316" s="94">
        <v>75</v>
      </c>
      <c r="AI316" s="28" t="s">
        <v>352</v>
      </c>
    </row>
    <row r="317" spans="1:35" ht="18" x14ac:dyDescent="0.35">
      <c r="A317" s="8">
        <v>314</v>
      </c>
      <c r="B317" s="33" t="s">
        <v>57</v>
      </c>
      <c r="C317" s="1" t="s">
        <v>1</v>
      </c>
      <c r="D317" s="1" t="s">
        <v>6</v>
      </c>
      <c r="E317" s="2" t="s">
        <v>0</v>
      </c>
      <c r="F317" s="1" t="s">
        <v>7</v>
      </c>
      <c r="G317" s="1" t="s">
        <v>1</v>
      </c>
      <c r="H317" s="33" t="s">
        <v>32</v>
      </c>
      <c r="I317" s="5" t="s">
        <v>12</v>
      </c>
      <c r="J317" s="5" t="s">
        <v>12</v>
      </c>
      <c r="K317" s="5" t="s">
        <v>12</v>
      </c>
      <c r="L317" s="4">
        <f>0.00000000000148*($B$1/298)^1.4*EXP(457/(8.314*$B$1))</f>
        <v>3.3930060108761504E-12</v>
      </c>
      <c r="M317" s="139">
        <v>168</v>
      </c>
      <c r="N317" s="139"/>
      <c r="O317" s="8" t="s">
        <v>375</v>
      </c>
      <c r="P317" s="5" t="s">
        <v>12</v>
      </c>
      <c r="Q317" s="5" t="s">
        <v>12</v>
      </c>
      <c r="R317" s="5" t="s">
        <v>12</v>
      </c>
      <c r="S317" s="4">
        <f>0.000000000013*($B$1/298)*EXP(-5571/(8.314*$B$1))</f>
        <v>5.6611723220868576E-12</v>
      </c>
      <c r="T317" s="92" t="s">
        <v>521</v>
      </c>
      <c r="U317" s="55" t="s">
        <v>253</v>
      </c>
      <c r="V317" s="5" t="s">
        <v>12</v>
      </c>
      <c r="W317" s="5" t="s">
        <v>12</v>
      </c>
      <c r="X317" s="5" t="s">
        <v>12</v>
      </c>
      <c r="Y317" s="5" t="s">
        <v>12</v>
      </c>
      <c r="AD317" s="5" t="s">
        <v>12</v>
      </c>
      <c r="AE317" s="5" t="s">
        <v>12</v>
      </c>
      <c r="AF317" s="5" t="s">
        <v>12</v>
      </c>
      <c r="AG317" s="5" t="s">
        <v>12</v>
      </c>
    </row>
    <row r="318" spans="1:35" ht="18" x14ac:dyDescent="0.35">
      <c r="A318" s="8">
        <v>315</v>
      </c>
      <c r="B318" s="33" t="s">
        <v>57</v>
      </c>
      <c r="C318" s="1" t="s">
        <v>1</v>
      </c>
      <c r="D318" s="1" t="s">
        <v>14</v>
      </c>
      <c r="E318" s="2" t="s">
        <v>0</v>
      </c>
      <c r="F318" s="1" t="s">
        <v>7</v>
      </c>
      <c r="G318" s="1" t="s">
        <v>1</v>
      </c>
      <c r="H318" s="1" t="s">
        <v>6</v>
      </c>
      <c r="I318" s="5" t="s">
        <v>12</v>
      </c>
      <c r="J318" s="5" t="s">
        <v>12</v>
      </c>
      <c r="K318" s="5" t="s">
        <v>12</v>
      </c>
      <c r="L318" s="4">
        <f>0.0000000000011*($B$1/298)*EXP(-16600/(8.314*$B$1))</f>
        <v>3.3407448577880181E-14</v>
      </c>
      <c r="M318" s="139">
        <v>79</v>
      </c>
      <c r="N318" s="139"/>
      <c r="P318" s="5" t="s">
        <v>12</v>
      </c>
      <c r="Q318" s="5" t="s">
        <v>12</v>
      </c>
      <c r="R318" s="5" t="s">
        <v>12</v>
      </c>
      <c r="S318" s="5" t="s">
        <v>12</v>
      </c>
      <c r="V318" s="5" t="s">
        <v>12</v>
      </c>
      <c r="W318" s="5" t="s">
        <v>12</v>
      </c>
      <c r="X318" s="5" t="s">
        <v>12</v>
      </c>
      <c r="Y318" s="5" t="s">
        <v>12</v>
      </c>
      <c r="AD318" s="5" t="s">
        <v>12</v>
      </c>
      <c r="AE318" s="5" t="s">
        <v>12</v>
      </c>
      <c r="AF318" s="5" t="s">
        <v>12</v>
      </c>
      <c r="AG318" s="5" t="s">
        <v>12</v>
      </c>
    </row>
    <row r="319" spans="1:35" ht="18.75" x14ac:dyDescent="0.35">
      <c r="A319" s="8">
        <v>316</v>
      </c>
      <c r="B319" s="33" t="s">
        <v>57</v>
      </c>
      <c r="C319" s="1" t="s">
        <v>1</v>
      </c>
      <c r="D319" s="10" t="s">
        <v>132</v>
      </c>
      <c r="E319" s="2" t="s">
        <v>0</v>
      </c>
      <c r="F319" s="1" t="s">
        <v>7</v>
      </c>
      <c r="G319" s="1" t="s">
        <v>1</v>
      </c>
      <c r="H319" s="1" t="s">
        <v>6</v>
      </c>
      <c r="I319" s="5" t="s">
        <v>12</v>
      </c>
      <c r="J319" s="5" t="s">
        <v>12</v>
      </c>
      <c r="K319" s="5" t="s">
        <v>12</v>
      </c>
      <c r="L319" s="4">
        <f>0.0000000000000808</f>
        <v>8.0799999999999994E-14</v>
      </c>
      <c r="M319" s="139">
        <v>169</v>
      </c>
      <c r="N319" s="139"/>
      <c r="O319" s="8" t="s">
        <v>376</v>
      </c>
      <c r="P319" s="5" t="s">
        <v>12</v>
      </c>
      <c r="Q319" s="5" t="s">
        <v>12</v>
      </c>
      <c r="R319" s="5" t="s">
        <v>12</v>
      </c>
      <c r="S319" s="5" t="s">
        <v>12</v>
      </c>
      <c r="V319" s="5" t="s">
        <v>12</v>
      </c>
      <c r="W319" s="5" t="s">
        <v>12</v>
      </c>
      <c r="X319" s="5" t="s">
        <v>12</v>
      </c>
      <c r="Y319" s="5" t="s">
        <v>12</v>
      </c>
      <c r="AD319" s="5" t="s">
        <v>12</v>
      </c>
      <c r="AE319" s="5" t="s">
        <v>12</v>
      </c>
      <c r="AF319" s="5" t="s">
        <v>12</v>
      </c>
      <c r="AG319" s="5" t="s">
        <v>12</v>
      </c>
    </row>
    <row r="320" spans="1:35" ht="18" x14ac:dyDescent="0.35">
      <c r="A320" s="8">
        <v>317</v>
      </c>
      <c r="B320" s="151" t="s">
        <v>57</v>
      </c>
      <c r="C320" s="137" t="s">
        <v>1</v>
      </c>
      <c r="D320" s="137" t="s">
        <v>29</v>
      </c>
      <c r="E320" s="149" t="s">
        <v>0</v>
      </c>
      <c r="F320" s="1" t="s">
        <v>7</v>
      </c>
      <c r="G320" s="1" t="s">
        <v>1</v>
      </c>
      <c r="H320" s="1" t="s">
        <v>31</v>
      </c>
      <c r="I320" s="5" t="s">
        <v>12</v>
      </c>
      <c r="J320" s="5" t="s">
        <v>12</v>
      </c>
      <c r="K320" s="5" t="s">
        <v>12</v>
      </c>
      <c r="L320" s="4">
        <f>0.0000000000382*($B$1/298)*EXP(-33260/(8.314*$B$1))</f>
        <v>2.0774428098068099E-14</v>
      </c>
      <c r="M320" s="139">
        <v>170</v>
      </c>
      <c r="N320" s="139"/>
      <c r="O320" s="8" t="s">
        <v>378</v>
      </c>
      <c r="P320" s="5" t="s">
        <v>12</v>
      </c>
      <c r="Q320" s="5" t="s">
        <v>12</v>
      </c>
      <c r="R320" s="5" t="s">
        <v>12</v>
      </c>
      <c r="S320" s="4">
        <f>0.00000000000281*($B$1/298)*EXP(-15700/(8.314*$B$1))</f>
        <v>1.0605517829814824E-13</v>
      </c>
      <c r="T320" s="92" t="s">
        <v>521</v>
      </c>
      <c r="U320" s="55" t="s">
        <v>253</v>
      </c>
      <c r="V320" s="5" t="s">
        <v>12</v>
      </c>
      <c r="W320" s="5" t="s">
        <v>12</v>
      </c>
      <c r="X320" s="5" t="s">
        <v>12</v>
      </c>
      <c r="Y320" s="5" t="s">
        <v>12</v>
      </c>
      <c r="AD320" s="5" t="s">
        <v>12</v>
      </c>
      <c r="AE320" s="5" t="s">
        <v>12</v>
      </c>
      <c r="AF320" s="5" t="s">
        <v>12</v>
      </c>
      <c r="AG320" s="5" t="s">
        <v>12</v>
      </c>
    </row>
    <row r="321" spans="1:33" ht="18" x14ac:dyDescent="0.35">
      <c r="A321" s="8">
        <v>318</v>
      </c>
      <c r="B321" s="151"/>
      <c r="C321" s="137"/>
      <c r="D321" s="137"/>
      <c r="E321" s="149"/>
      <c r="F321" s="1" t="s">
        <v>32</v>
      </c>
      <c r="G321" s="1" t="s">
        <v>1</v>
      </c>
      <c r="H321" s="1" t="s">
        <v>6</v>
      </c>
      <c r="I321" s="5" t="s">
        <v>12</v>
      </c>
      <c r="J321" s="5" t="s">
        <v>12</v>
      </c>
      <c r="K321" s="5" t="s">
        <v>12</v>
      </c>
      <c r="L321" s="4">
        <f>0.00000000133*($B$1/298)*EXP(-38080/(8.314*$B$1))</f>
        <v>2.2588487240151629E-13</v>
      </c>
      <c r="M321" s="139">
        <v>171</v>
      </c>
      <c r="N321" s="139"/>
      <c r="O321" s="8" t="s">
        <v>377</v>
      </c>
      <c r="P321" s="5" t="s">
        <v>12</v>
      </c>
      <c r="Q321" s="5" t="s">
        <v>12</v>
      </c>
      <c r="R321" s="5" t="s">
        <v>12</v>
      </c>
      <c r="S321" s="4">
        <f>0.0000000000169*($B$1/298)*EXP(-15000/(8.314*$B$1))</f>
        <v>7.5529218386387675E-13</v>
      </c>
      <c r="T321" s="92" t="s">
        <v>521</v>
      </c>
      <c r="U321" s="55" t="s">
        <v>253</v>
      </c>
      <c r="V321" s="5" t="s">
        <v>12</v>
      </c>
      <c r="W321" s="5" t="s">
        <v>12</v>
      </c>
      <c r="X321" s="5" t="s">
        <v>12</v>
      </c>
      <c r="Y321" s="5" t="s">
        <v>12</v>
      </c>
      <c r="AD321" s="5" t="s">
        <v>12</v>
      </c>
      <c r="AE321" s="5" t="s">
        <v>12</v>
      </c>
      <c r="AF321" s="5" t="s">
        <v>12</v>
      </c>
      <c r="AG321" s="5" t="s">
        <v>12</v>
      </c>
    </row>
    <row r="322" spans="1:33" ht="18" x14ac:dyDescent="0.35">
      <c r="A322" s="8">
        <v>319</v>
      </c>
      <c r="B322" s="33" t="s">
        <v>131</v>
      </c>
      <c r="E322" s="2" t="s">
        <v>0</v>
      </c>
      <c r="F322" s="33" t="s">
        <v>57</v>
      </c>
      <c r="I322" s="5" t="s">
        <v>12</v>
      </c>
      <c r="J322" s="5" t="s">
        <v>12</v>
      </c>
      <c r="K322" s="5" t="s">
        <v>12</v>
      </c>
      <c r="L322" s="4">
        <f>17500000000000*($B$1/298)^0.42*EXP(-79000/(8.314*$B$1))</f>
        <v>112911.03660750795</v>
      </c>
      <c r="M322" s="139">
        <v>166</v>
      </c>
      <c r="N322" s="139"/>
      <c r="O322" s="8" t="s">
        <v>379</v>
      </c>
      <c r="P322" s="5" t="s">
        <v>12</v>
      </c>
      <c r="Q322" s="5" t="s">
        <v>12</v>
      </c>
      <c r="R322" s="5" t="s">
        <v>12</v>
      </c>
      <c r="S322" s="5" t="s">
        <v>12</v>
      </c>
      <c r="V322" s="5" t="s">
        <v>12</v>
      </c>
      <c r="W322" s="5" t="s">
        <v>12</v>
      </c>
      <c r="X322" s="5" t="s">
        <v>12</v>
      </c>
      <c r="Y322" s="5" t="s">
        <v>12</v>
      </c>
      <c r="AD322" s="5" t="s">
        <v>12</v>
      </c>
      <c r="AE322" s="5" t="s">
        <v>12</v>
      </c>
      <c r="AF322" s="5" t="s">
        <v>12</v>
      </c>
      <c r="AG322" s="5" t="s">
        <v>12</v>
      </c>
    </row>
    <row r="323" spans="1:33" x14ac:dyDescent="0.25">
      <c r="AD323" s="5"/>
      <c r="AE323" s="5"/>
      <c r="AF323" s="5"/>
      <c r="AG323" s="5"/>
    </row>
    <row r="324" spans="1:33" x14ac:dyDescent="0.25">
      <c r="AD324" s="5"/>
      <c r="AE324" s="5"/>
      <c r="AF324" s="5"/>
      <c r="AG324" s="5"/>
    </row>
    <row r="325" spans="1:33" x14ac:dyDescent="0.25">
      <c r="AD325" s="5"/>
      <c r="AE325" s="5"/>
      <c r="AF325" s="5"/>
      <c r="AG325" s="5"/>
    </row>
    <row r="326" spans="1:33" x14ac:dyDescent="0.25">
      <c r="AD326" s="5"/>
      <c r="AE326" s="5"/>
      <c r="AF326" s="5"/>
      <c r="AG326" s="5"/>
    </row>
  </sheetData>
  <mergeCells count="604">
    <mergeCell ref="Z308:AA308"/>
    <mergeCell ref="M304:N305"/>
    <mergeCell ref="Z314:AA314"/>
    <mergeCell ref="M307:N307"/>
    <mergeCell ref="M308:N308"/>
    <mergeCell ref="M309:N309"/>
    <mergeCell ref="M310:N315"/>
    <mergeCell ref="M322:N322"/>
    <mergeCell ref="M316:N316"/>
    <mergeCell ref="Z316:AA316"/>
    <mergeCell ref="M317:N317"/>
    <mergeCell ref="M319:N319"/>
    <mergeCell ref="M320:N320"/>
    <mergeCell ref="M321:N321"/>
    <mergeCell ref="M318:N318"/>
    <mergeCell ref="O304:O305"/>
    <mergeCell ref="O310:O315"/>
    <mergeCell ref="AG272:AG273"/>
    <mergeCell ref="AH272:AH273"/>
    <mergeCell ref="AI272:AI273"/>
    <mergeCell ref="M274:N274"/>
    <mergeCell ref="M279:N279"/>
    <mergeCell ref="M286:N286"/>
    <mergeCell ref="M296:N296"/>
    <mergeCell ref="M301:N301"/>
    <mergeCell ref="M275:N275"/>
    <mergeCell ref="M277:N277"/>
    <mergeCell ref="M278:N278"/>
    <mergeCell ref="M280:N280"/>
    <mergeCell ref="M281:N283"/>
    <mergeCell ref="M284:N284"/>
    <mergeCell ref="M285:N285"/>
    <mergeCell ref="M287:N289"/>
    <mergeCell ref="M291:N291"/>
    <mergeCell ref="M293:N293"/>
    <mergeCell ref="M295:N295"/>
    <mergeCell ref="M297:N297"/>
    <mergeCell ref="M298:N299"/>
    <mergeCell ref="M300:N300"/>
    <mergeCell ref="Z291:AA291"/>
    <mergeCell ref="M294:N294"/>
    <mergeCell ref="Z258:AA258"/>
    <mergeCell ref="Z263:AA263"/>
    <mergeCell ref="M229:N229"/>
    <mergeCell ref="B234:B235"/>
    <mergeCell ref="C234:C235"/>
    <mergeCell ref="D234:D235"/>
    <mergeCell ref="E234:E235"/>
    <mergeCell ref="V272:V273"/>
    <mergeCell ref="W272:W273"/>
    <mergeCell ref="X272:X273"/>
    <mergeCell ref="Y272:Y273"/>
    <mergeCell ref="Z272:AA273"/>
    <mergeCell ref="M234:N234"/>
    <mergeCell ref="M236:N236"/>
    <mergeCell ref="M237:N237"/>
    <mergeCell ref="M238:N238"/>
    <mergeCell ref="M239:N239"/>
    <mergeCell ref="M240:N240"/>
    <mergeCell ref="M241:N241"/>
    <mergeCell ref="M243:N243"/>
    <mergeCell ref="M245:N245"/>
    <mergeCell ref="M246:N246"/>
    <mergeCell ref="M247:N247"/>
    <mergeCell ref="M248:N248"/>
    <mergeCell ref="Z208:AA208"/>
    <mergeCell ref="M205:N205"/>
    <mergeCell ref="Z209:AA209"/>
    <mergeCell ref="M218:N218"/>
    <mergeCell ref="Z218:AA218"/>
    <mergeCell ref="M224:N224"/>
    <mergeCell ref="T226:T228"/>
    <mergeCell ref="Z228:AA228"/>
    <mergeCell ref="M269:N269"/>
    <mergeCell ref="M212:N212"/>
    <mergeCell ref="Z217:AA217"/>
    <mergeCell ref="M219:N222"/>
    <mergeCell ref="M225:N225"/>
    <mergeCell ref="Z225:AA225"/>
    <mergeCell ref="M223:N223"/>
    <mergeCell ref="M226:N226"/>
    <mergeCell ref="M228:N228"/>
    <mergeCell ref="M227:N227"/>
    <mergeCell ref="M230:N230"/>
    <mergeCell ref="M235:N235"/>
    <mergeCell ref="Z235:AA235"/>
    <mergeCell ref="M260:N260"/>
    <mergeCell ref="M256:N256"/>
    <mergeCell ref="M261:N262"/>
    <mergeCell ref="M270:N271"/>
    <mergeCell ref="M263:N263"/>
    <mergeCell ref="M276:N276"/>
    <mergeCell ref="M206:N208"/>
    <mergeCell ref="M209:N210"/>
    <mergeCell ref="M211:N211"/>
    <mergeCell ref="M213:N213"/>
    <mergeCell ref="M203:N203"/>
    <mergeCell ref="M204:N204"/>
    <mergeCell ref="M264:N264"/>
    <mergeCell ref="M266:N266"/>
    <mergeCell ref="M251:N253"/>
    <mergeCell ref="M254:N254"/>
    <mergeCell ref="M255:N255"/>
    <mergeCell ref="M272:N273"/>
    <mergeCell ref="C284:C285"/>
    <mergeCell ref="M102:N102"/>
    <mergeCell ref="Z134:AA134"/>
    <mergeCell ref="Z190:AA190"/>
    <mergeCell ref="M135:N135"/>
    <mergeCell ref="M136:N136"/>
    <mergeCell ref="Z136:AA136"/>
    <mergeCell ref="M162:N165"/>
    <mergeCell ref="M167:N171"/>
    <mergeCell ref="M137:N137"/>
    <mergeCell ref="M138:N138"/>
    <mergeCell ref="M181:N181"/>
    <mergeCell ref="M139:N139"/>
    <mergeCell ref="O147:O148"/>
    <mergeCell ref="M147:N148"/>
    <mergeCell ref="M149:N149"/>
    <mergeCell ref="M150:N153"/>
    <mergeCell ref="M154:N154"/>
    <mergeCell ref="M155:N156"/>
    <mergeCell ref="M157:N161"/>
    <mergeCell ref="Z164:AA164"/>
    <mergeCell ref="M172:N179"/>
    <mergeCell ref="M180:N180"/>
    <mergeCell ref="M183:N183"/>
    <mergeCell ref="O155:O156"/>
    <mergeCell ref="AC123:AC126"/>
    <mergeCell ref="O74:O76"/>
    <mergeCell ref="O128:O129"/>
    <mergeCell ref="B84:B88"/>
    <mergeCell ref="C84:C88"/>
    <mergeCell ref="D84:D88"/>
    <mergeCell ref="E84:E88"/>
    <mergeCell ref="O123:O126"/>
    <mergeCell ref="Z118:AA118"/>
    <mergeCell ref="H123:H126"/>
    <mergeCell ref="I123:I126"/>
    <mergeCell ref="J123:J126"/>
    <mergeCell ref="K123:K126"/>
    <mergeCell ref="L123:L126"/>
    <mergeCell ref="O130:O131"/>
    <mergeCell ref="O150:O153"/>
    <mergeCell ref="C121:C122"/>
    <mergeCell ref="D121:D122"/>
    <mergeCell ref="B147:B149"/>
    <mergeCell ref="C147:C149"/>
    <mergeCell ref="D147:D149"/>
    <mergeCell ref="E147:E149"/>
    <mergeCell ref="B150:B153"/>
    <mergeCell ref="I1:L1"/>
    <mergeCell ref="P1:S1"/>
    <mergeCell ref="B7:B8"/>
    <mergeCell ref="C7:C8"/>
    <mergeCell ref="D7:D8"/>
    <mergeCell ref="E7:E8"/>
    <mergeCell ref="V1:AA1"/>
    <mergeCell ref="P32:P33"/>
    <mergeCell ref="Q32:Q33"/>
    <mergeCell ref="R32:R33"/>
    <mergeCell ref="S32:S33"/>
    <mergeCell ref="U32:U33"/>
    <mergeCell ref="T6:T8"/>
    <mergeCell ref="B14:B16"/>
    <mergeCell ref="C14:C16"/>
    <mergeCell ref="D14:D16"/>
    <mergeCell ref="E14:E16"/>
    <mergeCell ref="B4:B5"/>
    <mergeCell ref="C4:C5"/>
    <mergeCell ref="D4:D5"/>
    <mergeCell ref="E4:E5"/>
    <mergeCell ref="O4:O5"/>
    <mergeCell ref="O7:O8"/>
    <mergeCell ref="B2:H2"/>
    <mergeCell ref="AB272:AB273"/>
    <mergeCell ref="AB2:AC2"/>
    <mergeCell ref="AD1:AG1"/>
    <mergeCell ref="U7:U8"/>
    <mergeCell ref="Z2:AA2"/>
    <mergeCell ref="O56:O57"/>
    <mergeCell ref="O48:O49"/>
    <mergeCell ref="Z119:AA119"/>
    <mergeCell ref="M121:N121"/>
    <mergeCell ref="Z121:AA121"/>
    <mergeCell ref="Z67:AA68"/>
    <mergeCell ref="M185:N187"/>
    <mergeCell ref="M214:N217"/>
    <mergeCell ref="M188:N189"/>
    <mergeCell ref="M192:N199"/>
    <mergeCell ref="M202:N202"/>
    <mergeCell ref="T211:T212"/>
    <mergeCell ref="U211:U212"/>
    <mergeCell ref="M233:N233"/>
    <mergeCell ref="M258:N258"/>
    <mergeCell ref="O185:O187"/>
    <mergeCell ref="O188:O189"/>
    <mergeCell ref="O200:O201"/>
    <mergeCell ref="T32:T33"/>
    <mergeCell ref="B31:B33"/>
    <mergeCell ref="C31:C33"/>
    <mergeCell ref="D31:D33"/>
    <mergeCell ref="E31:E33"/>
    <mergeCell ref="B34:B35"/>
    <mergeCell ref="C34:C35"/>
    <mergeCell ref="D34:D35"/>
    <mergeCell ref="E34:E35"/>
    <mergeCell ref="B17:B18"/>
    <mergeCell ref="C17:C18"/>
    <mergeCell ref="D17:D18"/>
    <mergeCell ref="E17:E18"/>
    <mergeCell ref="B22:B23"/>
    <mergeCell ref="C22:C23"/>
    <mergeCell ref="D22:D23"/>
    <mergeCell ref="E22:E23"/>
    <mergeCell ref="B48:B49"/>
    <mergeCell ref="C48:C49"/>
    <mergeCell ref="D48:D49"/>
    <mergeCell ref="E48:E49"/>
    <mergeCell ref="B46:B47"/>
    <mergeCell ref="C46:C47"/>
    <mergeCell ref="D46:D47"/>
    <mergeCell ref="E46:E47"/>
    <mergeCell ref="M36:N36"/>
    <mergeCell ref="B56:B57"/>
    <mergeCell ref="D56:D57"/>
    <mergeCell ref="E56:E57"/>
    <mergeCell ref="C56:C57"/>
    <mergeCell ref="B61:B63"/>
    <mergeCell ref="C61:C63"/>
    <mergeCell ref="D61:D63"/>
    <mergeCell ref="E61:E63"/>
    <mergeCell ref="B74:B76"/>
    <mergeCell ref="C74:C76"/>
    <mergeCell ref="D74:D76"/>
    <mergeCell ref="E74:E76"/>
    <mergeCell ref="B70:B72"/>
    <mergeCell ref="C70:C72"/>
    <mergeCell ref="D70:D72"/>
    <mergeCell ref="E70:E72"/>
    <mergeCell ref="B139:B142"/>
    <mergeCell ref="C139:C142"/>
    <mergeCell ref="D139:D142"/>
    <mergeCell ref="E139:E142"/>
    <mergeCell ref="E143:E145"/>
    <mergeCell ref="D143:D145"/>
    <mergeCell ref="C143:C145"/>
    <mergeCell ref="B143:B145"/>
    <mergeCell ref="B64:B68"/>
    <mergeCell ref="C64:C68"/>
    <mergeCell ref="D64:D68"/>
    <mergeCell ref="E64:E68"/>
    <mergeCell ref="B119:B120"/>
    <mergeCell ref="B130:B131"/>
    <mergeCell ref="M1:N2"/>
    <mergeCell ref="M4:N8"/>
    <mergeCell ref="M9:N9"/>
    <mergeCell ref="M26:N26"/>
    <mergeCell ref="M34:N35"/>
    <mergeCell ref="M28:N28"/>
    <mergeCell ref="M22:N23"/>
    <mergeCell ref="M20:N20"/>
    <mergeCell ref="M101:N101"/>
    <mergeCell ref="M19:N19"/>
    <mergeCell ref="M14:N16"/>
    <mergeCell ref="M24:N24"/>
    <mergeCell ref="M25:N25"/>
    <mergeCell ref="M41:N41"/>
    <mergeCell ref="M61:N63"/>
    <mergeCell ref="M45:N45"/>
    <mergeCell ref="M46:N47"/>
    <mergeCell ref="M42:N42"/>
    <mergeCell ref="M43:N43"/>
    <mergeCell ref="M44:N44"/>
    <mergeCell ref="M302:N302"/>
    <mergeCell ref="M303:N303"/>
    <mergeCell ref="M306:N306"/>
    <mergeCell ref="Z110:AA110"/>
    <mergeCell ref="Z117:AA117"/>
    <mergeCell ref="M109:N109"/>
    <mergeCell ref="Z109:AA109"/>
    <mergeCell ref="M117:N117"/>
    <mergeCell ref="M249:N249"/>
    <mergeCell ref="O270:O271"/>
    <mergeCell ref="M242:N242"/>
    <mergeCell ref="Z163:AA163"/>
    <mergeCell ref="M166:N166"/>
    <mergeCell ref="Z157:AA157"/>
    <mergeCell ref="Z159:AA159"/>
    <mergeCell ref="O298:O299"/>
    <mergeCell ref="O215:O216"/>
    <mergeCell ref="O219:O222"/>
    <mergeCell ref="O251:O253"/>
    <mergeCell ref="O261:O262"/>
    <mergeCell ref="O267:O268"/>
    <mergeCell ref="O272:O273"/>
    <mergeCell ref="O281:O283"/>
    <mergeCell ref="O287:O289"/>
    <mergeCell ref="AB67:AB68"/>
    <mergeCell ref="AB71:AB72"/>
    <mergeCell ref="M103:N103"/>
    <mergeCell ref="M78:N78"/>
    <mergeCell ref="M81:N83"/>
    <mergeCell ref="M84:N88"/>
    <mergeCell ref="M89:N89"/>
    <mergeCell ref="M92:N92"/>
    <mergeCell ref="M93:N93"/>
    <mergeCell ref="Z93:AA93"/>
    <mergeCell ref="M95:N95"/>
    <mergeCell ref="M98:N98"/>
    <mergeCell ref="M99:N99"/>
    <mergeCell ref="M100:N100"/>
    <mergeCell ref="Z69:AA69"/>
    <mergeCell ref="M64:N68"/>
    <mergeCell ref="Z65:AA65"/>
    <mergeCell ref="M70:N72"/>
    <mergeCell ref="Z70:AA72"/>
    <mergeCell ref="M74:N76"/>
    <mergeCell ref="M73:N73"/>
    <mergeCell ref="M69:N69"/>
    <mergeCell ref="Z91:AA91"/>
    <mergeCell ref="M90:N91"/>
    <mergeCell ref="D284:D285"/>
    <mergeCell ref="E284:E285"/>
    <mergeCell ref="B287:B289"/>
    <mergeCell ref="C287:C289"/>
    <mergeCell ref="D287:D289"/>
    <mergeCell ref="E287:E289"/>
    <mergeCell ref="B284:B285"/>
    <mergeCell ref="T63:T66"/>
    <mergeCell ref="U64:U66"/>
    <mergeCell ref="M107:N107"/>
    <mergeCell ref="B244:B245"/>
    <mergeCell ref="C244:C245"/>
    <mergeCell ref="D244:D245"/>
    <mergeCell ref="B251:B253"/>
    <mergeCell ref="C251:C253"/>
    <mergeCell ref="D251:D253"/>
    <mergeCell ref="E251:E253"/>
    <mergeCell ref="B255:B256"/>
    <mergeCell ref="C255:C256"/>
    <mergeCell ref="D255:D256"/>
    <mergeCell ref="E255:E256"/>
    <mergeCell ref="B260:B261"/>
    <mergeCell ref="B162:B171"/>
    <mergeCell ref="M104:N104"/>
    <mergeCell ref="B274:B275"/>
    <mergeCell ref="C274:C275"/>
    <mergeCell ref="D274:D275"/>
    <mergeCell ref="E274:E275"/>
    <mergeCell ref="B265:B266"/>
    <mergeCell ref="C265:C266"/>
    <mergeCell ref="D265:D266"/>
    <mergeCell ref="E265:E266"/>
    <mergeCell ref="B269:B271"/>
    <mergeCell ref="C269:C271"/>
    <mergeCell ref="D269:D271"/>
    <mergeCell ref="E269:E271"/>
    <mergeCell ref="E272:E273"/>
    <mergeCell ref="D272:D273"/>
    <mergeCell ref="C272:C273"/>
    <mergeCell ref="B272:B273"/>
    <mergeCell ref="M105:N105"/>
    <mergeCell ref="M106:N106"/>
    <mergeCell ref="O112:O113"/>
    <mergeCell ref="M94:N94"/>
    <mergeCell ref="M80:N80"/>
    <mergeCell ref="C260:C261"/>
    <mergeCell ref="D260:D261"/>
    <mergeCell ref="E260:E261"/>
    <mergeCell ref="B230:B231"/>
    <mergeCell ref="C230:C231"/>
    <mergeCell ref="D230:D231"/>
    <mergeCell ref="E230:E231"/>
    <mergeCell ref="M182:N182"/>
    <mergeCell ref="M184:N184"/>
    <mergeCell ref="B79:B80"/>
    <mergeCell ref="C79:C80"/>
    <mergeCell ref="D79:D80"/>
    <mergeCell ref="E79:E80"/>
    <mergeCell ref="B81:B83"/>
    <mergeCell ref="C81:C83"/>
    <mergeCell ref="D81:D83"/>
    <mergeCell ref="E81:E83"/>
    <mergeCell ref="B123:B126"/>
    <mergeCell ref="C123:C126"/>
    <mergeCell ref="B214:B217"/>
    <mergeCell ref="C214:C217"/>
    <mergeCell ref="D214:D217"/>
    <mergeCell ref="E214:E217"/>
    <mergeCell ref="O170:O171"/>
    <mergeCell ref="O162:O165"/>
    <mergeCell ref="O167:O169"/>
    <mergeCell ref="O192:O199"/>
    <mergeCell ref="O207:O208"/>
    <mergeCell ref="B182:B184"/>
    <mergeCell ref="C182:C184"/>
    <mergeCell ref="D182:D184"/>
    <mergeCell ref="E182:E184"/>
    <mergeCell ref="M190:N191"/>
    <mergeCell ref="M200:N201"/>
    <mergeCell ref="B200:B201"/>
    <mergeCell ref="C200:C201"/>
    <mergeCell ref="D200:D201"/>
    <mergeCell ref="E200:E201"/>
    <mergeCell ref="B209:B210"/>
    <mergeCell ref="C209:C210"/>
    <mergeCell ref="D209:D210"/>
    <mergeCell ref="E209:E210"/>
    <mergeCell ref="B211:B213"/>
    <mergeCell ref="B242:B243"/>
    <mergeCell ref="C242:C243"/>
    <mergeCell ref="D242:D243"/>
    <mergeCell ref="E242:E243"/>
    <mergeCell ref="B219:B222"/>
    <mergeCell ref="C219:C222"/>
    <mergeCell ref="D219:D222"/>
    <mergeCell ref="E219:E222"/>
    <mergeCell ref="B236:B237"/>
    <mergeCell ref="C236:C237"/>
    <mergeCell ref="D236:D237"/>
    <mergeCell ref="E236:E237"/>
    <mergeCell ref="B238:B239"/>
    <mergeCell ref="C238:C239"/>
    <mergeCell ref="D238:D239"/>
    <mergeCell ref="E238:E239"/>
    <mergeCell ref="B224:B225"/>
    <mergeCell ref="E224:E225"/>
    <mergeCell ref="D224:D225"/>
    <mergeCell ref="C224:C225"/>
    <mergeCell ref="C211:C213"/>
    <mergeCell ref="D211:D213"/>
    <mergeCell ref="E211:E213"/>
    <mergeCell ref="B202:B203"/>
    <mergeCell ref="C202:C203"/>
    <mergeCell ref="D202:D203"/>
    <mergeCell ref="E202:E203"/>
    <mergeCell ref="B207:B208"/>
    <mergeCell ref="C207:C208"/>
    <mergeCell ref="D207:D208"/>
    <mergeCell ref="E207:E208"/>
    <mergeCell ref="E162:E171"/>
    <mergeCell ref="B172:B179"/>
    <mergeCell ref="C172:C179"/>
    <mergeCell ref="D172:D179"/>
    <mergeCell ref="E172:E179"/>
    <mergeCell ref="B155:B156"/>
    <mergeCell ref="C155:C156"/>
    <mergeCell ref="D155:D156"/>
    <mergeCell ref="E155:E156"/>
    <mergeCell ref="B157:B160"/>
    <mergeCell ref="C157:C160"/>
    <mergeCell ref="D157:D160"/>
    <mergeCell ref="E157:E160"/>
    <mergeCell ref="M112:N113"/>
    <mergeCell ref="M257:N257"/>
    <mergeCell ref="M259:N259"/>
    <mergeCell ref="M267:N268"/>
    <mergeCell ref="M114:N114"/>
    <mergeCell ref="M115:N115"/>
    <mergeCell ref="M119:N119"/>
    <mergeCell ref="M143:N143"/>
    <mergeCell ref="M134:N134"/>
    <mergeCell ref="M140:N142"/>
    <mergeCell ref="M144:N145"/>
    <mergeCell ref="M122:N122"/>
    <mergeCell ref="M123:N126"/>
    <mergeCell ref="M232:N232"/>
    <mergeCell ref="M120:N120"/>
    <mergeCell ref="M118:N118"/>
    <mergeCell ref="M231:N231"/>
    <mergeCell ref="M244:N244"/>
    <mergeCell ref="M250:N250"/>
    <mergeCell ref="M265:N265"/>
    <mergeCell ref="B304:B305"/>
    <mergeCell ref="C304:C305"/>
    <mergeCell ref="D304:D305"/>
    <mergeCell ref="E304:E305"/>
    <mergeCell ref="B188:B189"/>
    <mergeCell ref="C188:C189"/>
    <mergeCell ref="D188:D189"/>
    <mergeCell ref="E188:E189"/>
    <mergeCell ref="E130:E131"/>
    <mergeCell ref="D130:D131"/>
    <mergeCell ref="C130:C131"/>
    <mergeCell ref="C150:C153"/>
    <mergeCell ref="D150:D153"/>
    <mergeCell ref="B190:B191"/>
    <mergeCell ref="C190:C191"/>
    <mergeCell ref="D190:D191"/>
    <mergeCell ref="E190:E191"/>
    <mergeCell ref="E192:E199"/>
    <mergeCell ref="D192:D199"/>
    <mergeCell ref="C192:C199"/>
    <mergeCell ref="B192:B199"/>
    <mergeCell ref="E150:E153"/>
    <mergeCell ref="C162:C171"/>
    <mergeCell ref="D162:D171"/>
    <mergeCell ref="B320:B321"/>
    <mergeCell ref="C320:C321"/>
    <mergeCell ref="D320:D321"/>
    <mergeCell ref="E320:E321"/>
    <mergeCell ref="B90:B91"/>
    <mergeCell ref="C90:C91"/>
    <mergeCell ref="D90:D91"/>
    <mergeCell ref="E90:E91"/>
    <mergeCell ref="B127:B129"/>
    <mergeCell ref="C127:C129"/>
    <mergeCell ref="D127:D129"/>
    <mergeCell ref="E127:E129"/>
    <mergeCell ref="B185:B187"/>
    <mergeCell ref="C185:C187"/>
    <mergeCell ref="D185:D187"/>
    <mergeCell ref="E185:E187"/>
    <mergeCell ref="B310:B315"/>
    <mergeCell ref="C310:C315"/>
    <mergeCell ref="D310:D315"/>
    <mergeCell ref="E310:E315"/>
    <mergeCell ref="C119:C120"/>
    <mergeCell ref="D119:D120"/>
    <mergeCell ref="E119:E120"/>
    <mergeCell ref="B121:B122"/>
    <mergeCell ref="Z115:AA115"/>
    <mergeCell ref="M108:N108"/>
    <mergeCell ref="Z77:AA77"/>
    <mergeCell ref="E298:E299"/>
    <mergeCell ref="D298:D299"/>
    <mergeCell ref="C298:C299"/>
    <mergeCell ref="B298:B299"/>
    <mergeCell ref="E294:E295"/>
    <mergeCell ref="D294:D295"/>
    <mergeCell ref="C294:C295"/>
    <mergeCell ref="B294:B295"/>
    <mergeCell ref="E281:E282"/>
    <mergeCell ref="D281:D282"/>
    <mergeCell ref="C281:C282"/>
    <mergeCell ref="B281:B282"/>
    <mergeCell ref="M110:N110"/>
    <mergeCell ref="M292:N292"/>
    <mergeCell ref="M116:N116"/>
    <mergeCell ref="M290:N290"/>
    <mergeCell ref="M111:N111"/>
    <mergeCell ref="M97:N97"/>
    <mergeCell ref="M79:N79"/>
    <mergeCell ref="Z82:AA82"/>
    <mergeCell ref="M96:N96"/>
    <mergeCell ref="Z3:AA3"/>
    <mergeCell ref="Z13:AA13"/>
    <mergeCell ref="Z20:AA20"/>
    <mergeCell ref="M21:N21"/>
    <mergeCell ref="M37:N37"/>
    <mergeCell ref="M58:N58"/>
    <mergeCell ref="M60:N60"/>
    <mergeCell ref="Z63:AA63"/>
    <mergeCell ref="Z66:AA66"/>
    <mergeCell ref="M13:N13"/>
    <mergeCell ref="M12:N12"/>
    <mergeCell ref="M11:N11"/>
    <mergeCell ref="M10:N10"/>
    <mergeCell ref="M17:N18"/>
    <mergeCell ref="O34:O35"/>
    <mergeCell ref="O15:O18"/>
    <mergeCell ref="O22:O23"/>
    <mergeCell ref="O46:O47"/>
    <mergeCell ref="M27:N27"/>
    <mergeCell ref="M29:N29"/>
    <mergeCell ref="M30:N30"/>
    <mergeCell ref="M31:N33"/>
    <mergeCell ref="M38:N38"/>
    <mergeCell ref="M40:N40"/>
    <mergeCell ref="Z46:AA46"/>
    <mergeCell ref="M50:N52"/>
    <mergeCell ref="Z50:AA50"/>
    <mergeCell ref="M48:N49"/>
    <mergeCell ref="Z49:AA49"/>
    <mergeCell ref="M56:N57"/>
    <mergeCell ref="M53:N54"/>
    <mergeCell ref="M55:N55"/>
    <mergeCell ref="M59:N59"/>
    <mergeCell ref="O82:O83"/>
    <mergeCell ref="O85:O88"/>
    <mergeCell ref="M77:N77"/>
    <mergeCell ref="O1:O2"/>
    <mergeCell ref="Z123:AA126"/>
    <mergeCell ref="M146:N146"/>
    <mergeCell ref="M127:N127"/>
    <mergeCell ref="Z127:AA127"/>
    <mergeCell ref="M128:N129"/>
    <mergeCell ref="Z128:AA129"/>
    <mergeCell ref="M130:N131"/>
    <mergeCell ref="M132:N132"/>
    <mergeCell ref="Z132:AA132"/>
    <mergeCell ref="M133:N133"/>
    <mergeCell ref="Z133:AA133"/>
    <mergeCell ref="Z137:AA137"/>
    <mergeCell ref="O140:O141"/>
    <mergeCell ref="O144:O145"/>
    <mergeCell ref="O61:O62"/>
    <mergeCell ref="O64:O65"/>
    <mergeCell ref="O67:O68"/>
    <mergeCell ref="O71:O72"/>
    <mergeCell ref="O31:O33"/>
    <mergeCell ref="Z95:AA95"/>
  </mergeCells>
  <hyperlinks>
    <hyperlink ref="M3" location="References!A1" display="1"/>
    <hyperlink ref="N3" location="References!A2" display="References!A2"/>
    <hyperlink ref="M4:M8" location="'Rate constants'!A3" display="3"/>
    <hyperlink ref="M9" location="References!A1" display="References!A1"/>
    <hyperlink ref="M26" location="References!A1" display="References!A1"/>
    <hyperlink ref="Z20" location="References!A1" display="1"/>
    <hyperlink ref="Z3" location="References!A2" display="2"/>
    <hyperlink ref="M20" location="References!A2" display="2"/>
    <hyperlink ref="T6:T8" location="References!A3" display="3"/>
    <hyperlink ref="M10" location="References!A4" display="4"/>
    <hyperlink ref="M69" location="References!A4" display="4"/>
    <hyperlink ref="M11" location="References!A5" display="5"/>
    <hyperlink ref="M14:M16" location="References!A5" display="References!A5"/>
    <hyperlink ref="M22" location="References!A5" display="5"/>
    <hyperlink ref="M12" location="References!A6" display="References!A6"/>
    <hyperlink ref="M19" location="References!A6" display="References!A6"/>
    <hyperlink ref="M28" location="References!A6" display="References!A6"/>
    <hyperlink ref="M73" location="References!A6" display="References!A6"/>
    <hyperlink ref="M97" location="References!A6" display="References!A6"/>
    <hyperlink ref="M13" location="References!A7" display="7"/>
    <hyperlink ref="Z13" location="References!A7" display="7"/>
    <hyperlink ref="M36" location="References!A7" display="7"/>
    <hyperlink ref="M17" location="References!A4" display="4"/>
    <hyperlink ref="M21" location="References!A8" display="8"/>
    <hyperlink ref="M21:N21" location="References!A9" display="9"/>
    <hyperlink ref="AH13" location="References!A8" display="8"/>
    <hyperlink ref="T23" location="References!A10" display="10"/>
    <hyperlink ref="M37" location="References!A10" display="10"/>
    <hyperlink ref="AH49" location="References!A10" display="10"/>
    <hyperlink ref="M58" location="References!A10" display="10"/>
    <hyperlink ref="M60" location="References!A10" display="10"/>
    <hyperlink ref="T63" location="References!A10" display="10"/>
    <hyperlink ref="Z63" location="References!A10" display="10"/>
    <hyperlink ref="Z66" location="References!A10" display="10"/>
    <hyperlink ref="AH67" location="References!A10" display="10"/>
    <hyperlink ref="T78" location="References!A10" display="10"/>
    <hyperlink ref="T91" location="References!A10" display="10"/>
    <hyperlink ref="M79" location="References!A10" display="10"/>
    <hyperlink ref="Z82" location="References!A10" display="10"/>
    <hyperlink ref="M96" location="References!A10" display="10"/>
    <hyperlink ref="M102" location="References!A10" display="10"/>
    <hyperlink ref="T103" location="References!A10" display="10"/>
    <hyperlink ref="M107" location="References!A10" display="10"/>
    <hyperlink ref="Z115" location="References!A10" display="10"/>
    <hyperlink ref="T272" location="References!A10" display="10"/>
    <hyperlink ref="T292" location="References!A10" display="10"/>
    <hyperlink ref="M24" location="References!A11" display="11"/>
    <hyperlink ref="AH69" location="References!A11" display="References!A11"/>
    <hyperlink ref="M25" location="References!A12" display="References!A12"/>
    <hyperlink ref="N39" location="References!A12" display="References!A12"/>
    <hyperlink ref="AA39" location="References!A12" display="References!A12"/>
    <hyperlink ref="M90" location="References!A12" display="References!A12"/>
    <hyperlink ref="M27" location="References!A4" display="4"/>
    <hyperlink ref="Z69" location="References!A10" display="10"/>
    <hyperlink ref="Z69:AA69" location="References!A4" display="References!A4"/>
    <hyperlink ref="M29" location="References!A12" display="References!A12"/>
    <hyperlink ref="M29:N29" location="References!A13" display="13"/>
    <hyperlink ref="M30" location="References!A12" display="References!A12"/>
    <hyperlink ref="M30:N30" location="References!A14" display="14"/>
    <hyperlink ref="M31" location="References!A15" display="References!A15"/>
    <hyperlink ref="T32:T33" location="References!A16" display="References!A16"/>
    <hyperlink ref="T36" location="References!A17" display="17"/>
    <hyperlink ref="M38" location="References!A18" display="18"/>
    <hyperlink ref="T39" location="References!A10" display="References!A10"/>
    <hyperlink ref="M40" location="References!A19" display="19"/>
    <hyperlink ref="M39" location="References!A1" display="1"/>
    <hyperlink ref="M40:N40" location="References!A19" display="19"/>
    <hyperlink ref="Z39" location="References!A1" display="1"/>
    <hyperlink ref="AH39" location="References!A10" display="10"/>
    <hyperlink ref="M41" location="References!A20" display="20"/>
    <hyperlink ref="T53" location="References!A20" display="20"/>
    <hyperlink ref="T77" location="References!A20" display="20"/>
    <hyperlink ref="M80" location="References!A20" display="20"/>
    <hyperlink ref="T84" location="References!A20" display="20"/>
    <hyperlink ref="Z95" location="References!A20" display="20"/>
    <hyperlink ref="M42" location="References!A21" display="21"/>
    <hyperlink ref="M43" location="References!A22" display="22"/>
    <hyperlink ref="M44" location="References!A23" display="23"/>
    <hyperlink ref="M45" location="References!A24" display="24"/>
    <hyperlink ref="T70" location="References!A24" display="24"/>
    <hyperlink ref="AH70" location="References!A24" display="24"/>
    <hyperlink ref="Z91" location="References!A20" display="20"/>
    <hyperlink ref="Z91:AA91" location="References!A24" display="24"/>
    <hyperlink ref="T94" location="References!A24" display="24"/>
    <hyperlink ref="T104" location="References!A24" display="24"/>
    <hyperlink ref="M108" location="References!A10" display="10"/>
    <hyperlink ref="M108:N108" location="References!A24" display="24"/>
    <hyperlink ref="M110" location="References!A10" display="10"/>
    <hyperlink ref="M110:N110" location="References!A24" display="24"/>
    <hyperlink ref="Z110" location="References!A10" display="10"/>
    <hyperlink ref="Z110:AA110" location="References!A24" display="24"/>
    <hyperlink ref="Z117" location="References!A10" display="10"/>
    <hyperlink ref="Z117:AA117" location="References!A24" display="24"/>
    <hyperlink ref="M46" location="References!A25" display="25"/>
    <hyperlink ref="Z46" location="References!A25" display="25"/>
    <hyperlink ref="M50" location="References!A25" display="25"/>
    <hyperlink ref="Z50" location="References!A25" display="25"/>
    <hyperlink ref="M48" location="References!A26" display="26"/>
    <hyperlink ref="Z49" location="References!A25" display="25"/>
    <hyperlink ref="Z49:AA49" location="References!A26" display="26"/>
    <hyperlink ref="M56" location="References!A26" display="26"/>
    <hyperlink ref="T49" location="References!A27" display="27"/>
    <hyperlink ref="M53" location="References!A28" display="28"/>
    <hyperlink ref="T55" location="References!A28" display="28"/>
    <hyperlink ref="T57" location="References!A28" display="28"/>
    <hyperlink ref="M55" location="References!A29" display="29"/>
    <hyperlink ref="M59" location="References!A30" display="30"/>
    <hyperlink ref="M61" location="References!A31" display="31"/>
    <hyperlink ref="M64" location="References!A32" display="32"/>
    <hyperlink ref="Z65" location="References!A33" display="33"/>
    <hyperlink ref="M70" location="References!A34" display="34"/>
    <hyperlink ref="Z70" location="References!A34" display="34"/>
    <hyperlink ref="M94" location="References!A34" display="34"/>
    <hyperlink ref="M74" location="References!A35" display="35"/>
    <hyperlink ref="M77" location="References!A36" display="36"/>
    <hyperlink ref="Z77" location="References!A36" display="36"/>
    <hyperlink ref="M103" location="References!A36" display="36"/>
    <hyperlink ref="M292" location="References!A36" display="36"/>
    <hyperlink ref="M78" location="References!A37" display="37"/>
    <hyperlink ref="M81" location="'Rate constants'!A38" display="38"/>
    <hyperlink ref="M84" location="References!A39" display="39"/>
    <hyperlink ref="M89" location="References!A40" display="40"/>
    <hyperlink ref="M92" location="'Rate constants'!A41" display="41"/>
    <hyperlink ref="M93" location="References!A42" display="42"/>
    <hyperlink ref="Z93" location="References!A42" display="42"/>
    <hyperlink ref="M109" location="References!A42" display="42"/>
    <hyperlink ref="Z109" location="References!A42" display="42"/>
    <hyperlink ref="M95" location="References!A43" display="43"/>
    <hyperlink ref="T97" location="References!A44" display="44"/>
    <hyperlink ref="M98" location="References!A45" display="45"/>
    <hyperlink ref="M99" location="References!A46" display="46"/>
    <hyperlink ref="M100" location="References!A47" display="47"/>
    <hyperlink ref="M101" location="References!A47" display="47"/>
    <hyperlink ref="M101:N101" location="References!A20" display="References!A20"/>
    <hyperlink ref="M104" location="References!A48" display="48"/>
    <hyperlink ref="M116" location="References!A10" display="10"/>
    <hyperlink ref="M116:N116" location="References!A48" display="48"/>
    <hyperlink ref="M105" location="References!A49" display="49"/>
    <hyperlink ref="M106" location="References!A50" display="50"/>
    <hyperlink ref="M290" location="References!A50" display="50"/>
    <hyperlink ref="M111" location="References!A51" display="51"/>
    <hyperlink ref="M112" location="References!A52" display="52"/>
    <hyperlink ref="M257" location="References!A52" display="52"/>
    <hyperlink ref="M259" location="References!A52" display="52"/>
    <hyperlink ref="M267" location="References!A52" display="52"/>
    <hyperlink ref="M114" location="References!A53" display="53"/>
    <hyperlink ref="M115" location="References!A54" display="54"/>
    <hyperlink ref="T116" location="References!A55" display="55"/>
    <hyperlink ref="M117" location="References!A56" display="56"/>
    <hyperlink ref="M118" location="References!A57" display="57"/>
    <hyperlink ref="Z118" location="References!A57" display="57"/>
    <hyperlink ref="T117" location="References!A20" display="20"/>
    <hyperlink ref="T118" location="References!A58" display="58"/>
    <hyperlink ref="AH118" location="References!A59" display="59"/>
    <hyperlink ref="M119" location="References!A60" display="60"/>
    <hyperlink ref="T119" location="References!A61" display="61"/>
    <hyperlink ref="AH121" location="References!A61" display="61"/>
    <hyperlink ref="M120" location="References!A62" display="62"/>
    <hyperlink ref="M120:N120" location="References!A63" display="63"/>
    <hyperlink ref="Z119" location="References!A62" display="62"/>
    <hyperlink ref="M143" location="References!A62" display="62"/>
    <hyperlink ref="M121" location="References!A64" display="64"/>
    <hyperlink ref="Z121" location="References!A64" display="64"/>
    <hyperlink ref="M134" location="References!A64" display="64"/>
    <hyperlink ref="Z134" location="References!A64" display="64"/>
    <hyperlink ref="M140" location="References!A64" display="64"/>
    <hyperlink ref="M144" location="References!A64" display="64"/>
    <hyperlink ref="T163" location="References!A64" display="64"/>
    <hyperlink ref="Z163" location="References!A64" display="64"/>
    <hyperlink ref="M166" location="References!A64" display="64"/>
    <hyperlink ref="M182" location="References!A64" display="64"/>
    <hyperlink ref="M184" location="References!A64" display="64"/>
    <hyperlink ref="M190" location="References!A64" display="64"/>
    <hyperlink ref="T121" location="References!A65" display="65"/>
    <hyperlink ref="M122" location="References!A66" display="66"/>
    <hyperlink ref="M123" location="References!A67" display="67"/>
    <hyperlink ref="Z123" location="References!A67" display="67"/>
    <hyperlink ref="M146" location="References!A67" display="67"/>
    <hyperlink ref="T123" location="References!A68" display="68"/>
    <hyperlink ref="M127" location="References!A68" display="68"/>
    <hyperlink ref="T127" location="References!A69" display="69"/>
    <hyperlink ref="Z127" location="References!A69" display="69"/>
    <hyperlink ref="M128" location="References!A70" display="70"/>
    <hyperlink ref="Z128" location="References!A70" display="70"/>
    <hyperlink ref="M130" location="References!A71" display="71"/>
    <hyperlink ref="M132" location="References!A72" display="72"/>
    <hyperlink ref="Z132" location="References!A72" display="72"/>
    <hyperlink ref="T132" location="References!A73" display="73"/>
    <hyperlink ref="M133" location="References!A74" display="74"/>
    <hyperlink ref="T133" location="References!A75" display="75"/>
    <hyperlink ref="M232" location="References!A75" display="75"/>
    <hyperlink ref="M249" location="References!A75" display="75"/>
    <hyperlink ref="T293" location="References!A75" display="75"/>
    <hyperlink ref="T297" location="References!A75" display="75"/>
    <hyperlink ref="T307" location="References!A75" display="75"/>
    <hyperlink ref="T309" location="References!A75" display="75"/>
    <hyperlink ref="AH316" location="References!A75" display="75"/>
    <hyperlink ref="AH291" location="References!A75" display="75"/>
    <hyperlink ref="Z133" location="References!A76" display="76"/>
    <hyperlink ref="Z137" location="References!A76" display="76"/>
    <hyperlink ref="AH133" location="References!A77" display="77"/>
    <hyperlink ref="Z157" location="References!A77" display="77"/>
    <hyperlink ref="Z159" location="References!A77" display="77"/>
    <hyperlink ref="T160" location="References!A77" display="77"/>
    <hyperlink ref="T164" location="References!A77" display="77"/>
    <hyperlink ref="AH164" location="References!A77" display="77"/>
    <hyperlink ref="T190" location="References!A77" display="77"/>
    <hyperlink ref="T191" location="References!A77" display="77"/>
    <hyperlink ref="M200" location="References!A77" display="77"/>
    <hyperlink ref="M242" location="References!A77" display="77"/>
    <hyperlink ref="Z190" location="References!A77" display="77"/>
    <hyperlink ref="T134" location="References!A78" display="78"/>
    <hyperlink ref="AH134" location="References!A79" display="79"/>
    <hyperlink ref="M135" location="References!A80" display="80"/>
    <hyperlink ref="M136" location="References!A80" display="80"/>
    <hyperlink ref="M136:N136" location="References!A20" display="References!A20"/>
    <hyperlink ref="T136" location="References!A81" display="81"/>
    <hyperlink ref="Z136" location="References!A82" display="82"/>
    <hyperlink ref="M162" location="References!A82" display="82"/>
    <hyperlink ref="M167" location="References!A82" display="82"/>
    <hyperlink ref="M137" location="References!A83" display="83"/>
    <hyperlink ref="AH137" location="References!A84" display="84"/>
    <hyperlink ref="M138" location="References!A85" display="85"/>
    <hyperlink ref="M181" location="References!A85" display="85"/>
    <hyperlink ref="T141" location="References!A86" display="86"/>
    <hyperlink ref="T142" location="References!A87" display="87"/>
    <hyperlink ref="T145" location="References!A61" display="61"/>
    <hyperlink ref="M147" location="References!A88" display="88"/>
    <hyperlink ref="M149" location="References!A90" display="90"/>
    <hyperlink ref="M150" location="References!A91" display="A91"/>
    <hyperlink ref="T150" location="References!A92" display="92"/>
    <hyperlink ref="T151" location="References!A93" display="93"/>
    <hyperlink ref="M154" location="References!A70" display="70"/>
    <hyperlink ref="M155" location="References!A72" display="72"/>
    <hyperlink ref="M157" location="References!A94" display="94"/>
    <hyperlink ref="T157" location="References!A95" display="95"/>
    <hyperlink ref="T159" location="References!A95" display="95"/>
    <hyperlink ref="Z164" location="References!A96" display="96"/>
    <hyperlink ref="M172" location="References!A97" display="97"/>
    <hyperlink ref="M180" location="References!A98" display="98"/>
    <hyperlink ref="M183" location="References!A99" display="99"/>
    <hyperlink ref="M185" location="References!A100" display="100"/>
    <hyperlink ref="M214" location="References!A100" display="100"/>
    <hyperlink ref="M188" location="References!A101" display="101"/>
    <hyperlink ref="M192" location="References!A102" display="102"/>
    <hyperlink ref="T193" location="References!A103" display="103"/>
    <hyperlink ref="T311" location="References!A79" display="79"/>
    <hyperlink ref="T315" location="References!A79" display="79"/>
    <hyperlink ref="T314" location="References!A79" display="79"/>
    <hyperlink ref="T317" location="References!A79" display="79"/>
    <hyperlink ref="T320" location="References!A79" display="79"/>
    <hyperlink ref="T321" location="References!A79" display="79"/>
    <hyperlink ref="M318" location="References!A79" display="79"/>
    <hyperlink ref="M203" location="References!A104" display="104"/>
    <hyperlink ref="T203" location="'Rate constants'!A104" display="104"/>
    <hyperlink ref="M204" location="References!A105" display="105"/>
    <hyperlink ref="Z208" location="References!A105" display="105"/>
    <hyperlink ref="M205" location="References!A106" display="106"/>
    <hyperlink ref="T208" location="References!A106" display="106"/>
    <hyperlink ref="Z209" location="References!A106" display="106"/>
    <hyperlink ref="M218" location="References!A106" display="106"/>
    <hyperlink ref="Z218" location="References!A106" display="106"/>
    <hyperlink ref="T222" location="References!A106" display="106"/>
    <hyperlink ref="M224" location="References!A106" display="106"/>
    <hyperlink ref="T226" location="References!A106" display="106"/>
    <hyperlink ref="Z228" location="References!A106" display="106"/>
    <hyperlink ref="M229" location="References!A106" display="106"/>
    <hyperlink ref="M231" location="References!A106" display="106"/>
    <hyperlink ref="AH235" location="References!A106" display="106"/>
    <hyperlink ref="T240" location="References!A106" display="106"/>
    <hyperlink ref="M244" location="References!A106" display="106"/>
    <hyperlink ref="M250" location="References!A106" display="106"/>
    <hyperlink ref="T253" location="References!A106" display="106"/>
    <hyperlink ref="M265" location="References!A106" display="106"/>
    <hyperlink ref="M270" location="References!A106" display="106"/>
    <hyperlink ref="M263" location="References!A106" display="106"/>
    <hyperlink ref="M276" location="References!A106" display="106"/>
    <hyperlink ref="M206" location="References!A107" display="107"/>
    <hyperlink ref="T206" location="References!A108" display="108"/>
    <hyperlink ref="M209" location="References!A109" display="109"/>
    <hyperlink ref="M211" location="References!A110" display="A110"/>
    <hyperlink ref="M213" location="References!A110" display="A110"/>
    <hyperlink ref="T211" location="References!A111" display="111"/>
    <hyperlink ref="M233" location="References!A111" display="111"/>
    <hyperlink ref="M258" location="References!A111" display="111"/>
    <hyperlink ref="AH263" location="References!A111" display="111"/>
    <hyperlink ref="M269" location="References!A111" display="111"/>
    <hyperlink ref="T294" location="References!A111" display="111"/>
    <hyperlink ref="T304" location="References!A111" display="111"/>
    <hyperlink ref="M212" location="References!A112" display="112"/>
    <hyperlink ref="T213" location="References!A113" display="113"/>
    <hyperlink ref="T214" location="References!A114" display="114"/>
    <hyperlink ref="T217" location="References!A115" display="115"/>
    <hyperlink ref="Z217" location="References!A116" display="116"/>
    <hyperlink ref="M219" location="References!A117" display="References!117"/>
    <hyperlink ref="M225" location="References!A118" display="118"/>
    <hyperlink ref="Z225" location="References!A118" display="118"/>
    <hyperlink ref="M225:N225" location="References!A119" display="References!A119"/>
    <hyperlink ref="Z225:AA225" location="References!A119" display="119"/>
    <hyperlink ref="M223" location="References!A118" display="118"/>
    <hyperlink ref="M226" location="References!A120" display="120"/>
    <hyperlink ref="M228" location="References!A120" display="120"/>
    <hyperlink ref="M227" location="References!A121" display="121"/>
    <hyperlink ref="M230" location="References!A122" display="122"/>
    <hyperlink ref="M235" location="'Rate constants'!A123" display="123"/>
    <hyperlink ref="M272" location="References!A123" display="123"/>
    <hyperlink ref="Z235" location="'Rate constants'!A123" display="123"/>
    <hyperlink ref="Z272" location="'Rate constants'!A123" display="123"/>
    <hyperlink ref="M234" location="References!A124" display="124"/>
    <hyperlink ref="T235" location="References!A125" display="125"/>
    <hyperlink ref="M236" location="References!A126" display="126"/>
    <hyperlink ref="M237" location="References!A127" display="127"/>
    <hyperlink ref="M238" location="References!A128" display="128"/>
    <hyperlink ref="M239" location="'Rate constants'!A129" display="129"/>
    <hyperlink ref="M240" location="References!A130" display="130"/>
    <hyperlink ref="M241" location="References!A123" display="123"/>
    <hyperlink ref="M241:N241" location="References!A131" display="References!A131"/>
    <hyperlink ref="M243" location="References!A132" display="132"/>
    <hyperlink ref="M245" location="'Rate constants'!A133" display="133"/>
    <hyperlink ref="M246" location="'Rate constants'!A134" display="134"/>
    <hyperlink ref="M247" location="References!A135" display="135"/>
    <hyperlink ref="T247" location="References!A136" display="136"/>
    <hyperlink ref="M248" location="References!A137" display="137"/>
    <hyperlink ref="M251" location="'Rate constants'!A138" display="138"/>
    <hyperlink ref="M254" location="References!A28" display="28"/>
    <hyperlink ref="M251:N253" location="References!A138" display="References!A138"/>
    <hyperlink ref="M254:N254" location="References!A70" display="References!A70"/>
    <hyperlink ref="M255" location="References!A139" display="139"/>
    <hyperlink ref="M256" location="References!A140" display="140"/>
    <hyperlink ref="M261" location="'Rate constants'!A140" display="140"/>
    <hyperlink ref="M264" location="References!A20" display="20"/>
    <hyperlink ref="M266" location="'Rate constants'!A119" display="119"/>
    <hyperlink ref="M260" location="References!A139" display="139"/>
    <hyperlink ref="Z258" location="References!A141" display="141"/>
    <hyperlink ref="Z263" location="'Rate constants'!A142" display="142"/>
    <hyperlink ref="Z263:AA263" location="References!A142" display="References!A142"/>
    <hyperlink ref="Z291" location="'Rate constants'!A142" display="142"/>
    <hyperlink ref="Z291:AA291" location="References!A142" display="References!A142"/>
    <hyperlink ref="M294" location="References!A142" display="142"/>
    <hyperlink ref="AH272:AH273" location="References!A143" display="143"/>
    <hyperlink ref="T273" location="References!A144" display="144"/>
    <hyperlink ref="M274:N274" location="References!A20" display="20"/>
    <hyperlink ref="M279:N279" location="References!A20" display="20"/>
    <hyperlink ref="M286:N286" location="References!A20" display="20"/>
    <hyperlink ref="M296:N296" location="References!A20" display="20"/>
    <hyperlink ref="M301:N301" location="References!A20" display="20"/>
    <hyperlink ref="M275" location="References!A145" display="145"/>
    <hyperlink ref="M277" location="References!A146" display="146"/>
    <hyperlink ref="M278" location="References!A147" display="147"/>
    <hyperlink ref="M280" location="References!A148" display="148"/>
    <hyperlink ref="M281" location="References!A149" display="149"/>
    <hyperlink ref="M284" location="References!A150" display="150"/>
    <hyperlink ref="T284" location="References!A151" display="151"/>
    <hyperlink ref="M285" location="References!A152" display="152"/>
    <hyperlink ref="M287" location="References!A153" display="153"/>
    <hyperlink ref="M291" location="References!A154" display="154"/>
    <hyperlink ref="M293" location="References!A155" display="155"/>
    <hyperlink ref="M295" location="References!A155" display="155"/>
    <hyperlink ref="T295" location="References!A156" display="156"/>
    <hyperlink ref="M297" location="References!A157" display="157"/>
    <hyperlink ref="M302" location="References!A157" display="157"/>
    <hyperlink ref="M298" location="References!A158" display="eferences!A158"/>
    <hyperlink ref="M300" location="References!A159" display="159"/>
    <hyperlink ref="M303" location="References!A160" display="160"/>
    <hyperlink ref="M306" location="References!A160" display="160"/>
    <hyperlink ref="Z308" location="References!A160" display="160"/>
    <hyperlink ref="T316" location="References!A160" display="160"/>
    <hyperlink ref="M304" location="References!A161" display="161"/>
    <hyperlink ref="Z314" location="References!A161" display="161"/>
    <hyperlink ref="M307" location="References!A162" display="162"/>
    <hyperlink ref="M308" location="References!A163" display="163"/>
    <hyperlink ref="T308" location="References!A164" display="164"/>
    <hyperlink ref="M309" location="References!A165" display="165"/>
    <hyperlink ref="M310" location="References!A166" display="166"/>
    <hyperlink ref="M322" location="References!A166" display="166"/>
    <hyperlink ref="M316" location="References!A167" display="167"/>
    <hyperlink ref="Z316" location="References!A167" display="167"/>
    <hyperlink ref="M317" location="References!A168" display="168"/>
    <hyperlink ref="M319" location="References!A169" display="169"/>
    <hyperlink ref="M320" location="References!A170" display="170"/>
    <hyperlink ref="M321" location="References!A171" display="171"/>
  </hyperlinks>
  <pageMargins left="0.7" right="0.7" top="0.75" bottom="0.75" header="0.3" footer="0.3"/>
  <pageSetup scale="65" orientation="landscape" horizontalDpi="0" verticalDpi="0" r:id="rId1"/>
  <colBreaks count="4" manualBreakCount="4">
    <brk id="13" max="1048575" man="1"/>
    <brk id="15" max="1048575" man="1"/>
    <brk id="21" max="304" man="1"/>
    <brk id="29" max="1048575" man="1"/>
  </colBreaks>
  <ignoredErrors>
    <ignoredError sqref="M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1"/>
  <sheetViews>
    <sheetView workbookViewId="0">
      <selection activeCell="A8" sqref="A8"/>
    </sheetView>
  </sheetViews>
  <sheetFormatPr defaultRowHeight="15" x14ac:dyDescent="0.25"/>
  <cols>
    <col min="1" max="1" width="142" style="79" customWidth="1"/>
  </cols>
  <sheetData>
    <row r="1" spans="1:1" ht="30" x14ac:dyDescent="0.25">
      <c r="A1" s="79" t="s">
        <v>380</v>
      </c>
    </row>
    <row r="2" spans="1:1" ht="33" x14ac:dyDescent="0.25">
      <c r="A2" s="79" t="s">
        <v>381</v>
      </c>
    </row>
    <row r="3" spans="1:1" ht="18" x14ac:dyDescent="0.25">
      <c r="A3" s="79" t="s">
        <v>382</v>
      </c>
    </row>
    <row r="4" spans="1:1" ht="33" x14ac:dyDescent="0.25">
      <c r="A4" s="79" t="s">
        <v>387</v>
      </c>
    </row>
    <row r="5" spans="1:1" ht="33" x14ac:dyDescent="0.25">
      <c r="A5" s="79" t="s">
        <v>386</v>
      </c>
    </row>
    <row r="6" spans="1:1" ht="33" x14ac:dyDescent="0.25">
      <c r="A6" s="79" t="s">
        <v>384</v>
      </c>
    </row>
    <row r="7" spans="1:1" ht="33" x14ac:dyDescent="0.25">
      <c r="A7" s="79" t="s">
        <v>388</v>
      </c>
    </row>
    <row r="8" spans="1:1" ht="32.25" x14ac:dyDescent="0.25">
      <c r="A8" s="79" t="s">
        <v>391</v>
      </c>
    </row>
    <row r="9" spans="1:1" ht="18" x14ac:dyDescent="0.25">
      <c r="A9" s="79" t="s">
        <v>390</v>
      </c>
    </row>
    <row r="10" spans="1:1" ht="30" x14ac:dyDescent="0.25">
      <c r="A10" s="79" t="s">
        <v>451</v>
      </c>
    </row>
    <row r="11" spans="1:1" ht="33" x14ac:dyDescent="0.25">
      <c r="A11" s="79" t="s">
        <v>396</v>
      </c>
    </row>
    <row r="12" spans="1:1" ht="33" x14ac:dyDescent="0.25">
      <c r="A12" s="79" t="s">
        <v>398</v>
      </c>
    </row>
    <row r="13" spans="1:1" ht="33.75" x14ac:dyDescent="0.25">
      <c r="A13" s="79" t="s">
        <v>399</v>
      </c>
    </row>
    <row r="14" spans="1:1" ht="18" x14ac:dyDescent="0.25">
      <c r="A14" s="79" t="s">
        <v>401</v>
      </c>
    </row>
    <row r="15" spans="1:1" ht="33" x14ac:dyDescent="0.25">
      <c r="A15" s="79" t="s">
        <v>403</v>
      </c>
    </row>
    <row r="16" spans="1:1" ht="18" x14ac:dyDescent="0.25">
      <c r="A16" s="79" t="s">
        <v>404</v>
      </c>
    </row>
    <row r="17" spans="1:1" ht="32.25" x14ac:dyDescent="0.25">
      <c r="A17" s="79" t="s">
        <v>405</v>
      </c>
    </row>
    <row r="18" spans="1:1" ht="33" x14ac:dyDescent="0.25">
      <c r="A18" s="79" t="s">
        <v>406</v>
      </c>
    </row>
    <row r="19" spans="1:1" ht="33" x14ac:dyDescent="0.25">
      <c r="A19" s="79" t="s">
        <v>407</v>
      </c>
    </row>
    <row r="20" spans="1:1" ht="30" x14ac:dyDescent="0.25">
      <c r="A20" s="79" t="s">
        <v>412</v>
      </c>
    </row>
    <row r="21" spans="1:1" ht="30" x14ac:dyDescent="0.25">
      <c r="A21" s="79" t="s">
        <v>413</v>
      </c>
    </row>
    <row r="22" spans="1:1" x14ac:dyDescent="0.25">
      <c r="A22" s="79" t="s">
        <v>414</v>
      </c>
    </row>
    <row r="23" spans="1:1" ht="30" x14ac:dyDescent="0.25">
      <c r="A23" s="79" t="s">
        <v>415</v>
      </c>
    </row>
    <row r="24" spans="1:1" ht="30" x14ac:dyDescent="0.25">
      <c r="A24" s="79" t="s">
        <v>416</v>
      </c>
    </row>
    <row r="25" spans="1:1" ht="33" x14ac:dyDescent="0.25">
      <c r="A25" s="79" t="s">
        <v>420</v>
      </c>
    </row>
    <row r="26" spans="1:1" ht="30" x14ac:dyDescent="0.25">
      <c r="A26" s="79" t="s">
        <v>421</v>
      </c>
    </row>
    <row r="27" spans="1:1" ht="36" x14ac:dyDescent="0.25">
      <c r="A27" s="79" t="s">
        <v>423</v>
      </c>
    </row>
    <row r="28" spans="1:1" ht="33" x14ac:dyDescent="0.25">
      <c r="A28" s="79" t="s">
        <v>424</v>
      </c>
    </row>
    <row r="29" spans="1:1" ht="32.25" x14ac:dyDescent="0.25">
      <c r="A29" s="79" t="s">
        <v>426</v>
      </c>
    </row>
    <row r="30" spans="1:1" ht="30" x14ac:dyDescent="0.25">
      <c r="A30" s="79" t="s">
        <v>427</v>
      </c>
    </row>
    <row r="31" spans="1:1" ht="33" x14ac:dyDescent="0.25">
      <c r="A31" s="79" t="s">
        <v>428</v>
      </c>
    </row>
    <row r="32" spans="1:1" ht="33" x14ac:dyDescent="0.25">
      <c r="A32" s="79" t="s">
        <v>429</v>
      </c>
    </row>
    <row r="33" spans="1:1" ht="30" x14ac:dyDescent="0.25">
      <c r="A33" s="79" t="s">
        <v>430</v>
      </c>
    </row>
    <row r="34" spans="1:1" x14ac:dyDescent="0.25">
      <c r="A34" s="79" t="s">
        <v>431</v>
      </c>
    </row>
    <row r="35" spans="1:1" ht="33" x14ac:dyDescent="0.25">
      <c r="A35" s="79" t="s">
        <v>433</v>
      </c>
    </row>
    <row r="36" spans="1:1" ht="18" x14ac:dyDescent="0.25">
      <c r="A36" s="79" t="s">
        <v>434</v>
      </c>
    </row>
    <row r="37" spans="1:1" ht="33" x14ac:dyDescent="0.25">
      <c r="A37" s="79" t="s">
        <v>435</v>
      </c>
    </row>
    <row r="38" spans="1:1" ht="18" x14ac:dyDescent="0.25">
      <c r="A38" s="79" t="s">
        <v>436</v>
      </c>
    </row>
    <row r="39" spans="1:1" ht="36" x14ac:dyDescent="0.25">
      <c r="A39" s="79" t="s">
        <v>437</v>
      </c>
    </row>
    <row r="40" spans="1:1" ht="30" x14ac:dyDescent="0.25">
      <c r="A40" s="79" t="s">
        <v>439</v>
      </c>
    </row>
    <row r="41" spans="1:1" ht="30" x14ac:dyDescent="0.25">
      <c r="A41" s="79" t="s">
        <v>440</v>
      </c>
    </row>
    <row r="42" spans="1:1" ht="30" x14ac:dyDescent="0.25">
      <c r="A42" s="79" t="s">
        <v>441</v>
      </c>
    </row>
    <row r="43" spans="1:1" ht="30" x14ac:dyDescent="0.25">
      <c r="A43" s="79" t="s">
        <v>442</v>
      </c>
    </row>
    <row r="44" spans="1:1" ht="30" x14ac:dyDescent="0.25">
      <c r="A44" s="79" t="s">
        <v>443</v>
      </c>
    </row>
    <row r="45" spans="1:1" ht="30" x14ac:dyDescent="0.25">
      <c r="A45" s="79" t="s">
        <v>444</v>
      </c>
    </row>
    <row r="46" spans="1:1" ht="33" x14ac:dyDescent="0.25">
      <c r="A46" s="79" t="s">
        <v>445</v>
      </c>
    </row>
    <row r="47" spans="1:1" x14ac:dyDescent="0.25">
      <c r="A47" s="79" t="s">
        <v>447</v>
      </c>
    </row>
    <row r="48" spans="1:1" x14ac:dyDescent="0.25">
      <c r="A48" s="79" t="s">
        <v>448</v>
      </c>
    </row>
    <row r="49" spans="1:1" ht="30" x14ac:dyDescent="0.25">
      <c r="A49" s="79" t="s">
        <v>450</v>
      </c>
    </row>
    <row r="50" spans="1:1" ht="30" x14ac:dyDescent="0.25">
      <c r="A50" s="79" t="s">
        <v>452</v>
      </c>
    </row>
    <row r="51" spans="1:1" x14ac:dyDescent="0.25">
      <c r="A51" s="79" t="s">
        <v>453</v>
      </c>
    </row>
    <row r="52" spans="1:1" ht="18" x14ac:dyDescent="0.25">
      <c r="A52" s="79" t="s">
        <v>454</v>
      </c>
    </row>
    <row r="53" spans="1:1" ht="30" x14ac:dyDescent="0.25">
      <c r="A53" s="79" t="s">
        <v>455</v>
      </c>
    </row>
    <row r="54" spans="1:1" ht="30" x14ac:dyDescent="0.25">
      <c r="A54" s="79" t="s">
        <v>456</v>
      </c>
    </row>
    <row r="55" spans="1:1" ht="30" x14ac:dyDescent="0.25">
      <c r="A55" s="79" t="s">
        <v>457</v>
      </c>
    </row>
    <row r="56" spans="1:1" ht="34.5" x14ac:dyDescent="0.25">
      <c r="A56" s="79" t="s">
        <v>458</v>
      </c>
    </row>
    <row r="57" spans="1:1" ht="33" x14ac:dyDescent="0.25">
      <c r="A57" s="79" t="s">
        <v>459</v>
      </c>
    </row>
    <row r="58" spans="1:1" ht="33" x14ac:dyDescent="0.25">
      <c r="A58" s="79" t="s">
        <v>460</v>
      </c>
    </row>
    <row r="59" spans="1:1" ht="33" x14ac:dyDescent="0.25">
      <c r="A59" s="79" t="s">
        <v>461</v>
      </c>
    </row>
    <row r="60" spans="1:1" x14ac:dyDescent="0.25">
      <c r="A60" s="79" t="s">
        <v>462</v>
      </c>
    </row>
    <row r="61" spans="1:1" x14ac:dyDescent="0.25">
      <c r="A61" s="79" t="s">
        <v>463</v>
      </c>
    </row>
    <row r="62" spans="1:1" x14ac:dyDescent="0.25">
      <c r="A62" s="79" t="s">
        <v>466</v>
      </c>
    </row>
    <row r="63" spans="1:1" x14ac:dyDescent="0.25">
      <c r="A63" s="79" t="s">
        <v>464</v>
      </c>
    </row>
    <row r="64" spans="1:1" ht="33" x14ac:dyDescent="0.25">
      <c r="A64" s="79" t="s">
        <v>467</v>
      </c>
    </row>
    <row r="65" spans="1:1" ht="18" x14ac:dyDescent="0.25">
      <c r="A65" s="79" t="s">
        <v>469</v>
      </c>
    </row>
    <row r="66" spans="1:1" ht="30" x14ac:dyDescent="0.25">
      <c r="A66" s="79" t="s">
        <v>470</v>
      </c>
    </row>
    <row r="67" spans="1:1" ht="33" x14ac:dyDescent="0.25">
      <c r="A67" s="79" t="s">
        <v>471</v>
      </c>
    </row>
    <row r="68" spans="1:1" ht="18" x14ac:dyDescent="0.25">
      <c r="A68" s="79" t="s">
        <v>472</v>
      </c>
    </row>
    <row r="69" spans="1:1" ht="33" x14ac:dyDescent="0.25">
      <c r="A69" s="79" t="s">
        <v>473</v>
      </c>
    </row>
    <row r="70" spans="1:1" ht="33" x14ac:dyDescent="0.25">
      <c r="A70" s="79" t="s">
        <v>474</v>
      </c>
    </row>
    <row r="71" spans="1:1" ht="18" x14ac:dyDescent="0.25">
      <c r="A71" s="79" t="s">
        <v>476</v>
      </c>
    </row>
    <row r="72" spans="1:1" ht="33" x14ac:dyDescent="0.25">
      <c r="A72" s="79" t="s">
        <v>477</v>
      </c>
    </row>
    <row r="73" spans="1:1" ht="33" x14ac:dyDescent="0.25">
      <c r="A73" s="79" t="s">
        <v>479</v>
      </c>
    </row>
    <row r="74" spans="1:1" ht="33" x14ac:dyDescent="0.25">
      <c r="A74" s="79" t="s">
        <v>480</v>
      </c>
    </row>
    <row r="75" spans="1:1" ht="33" x14ac:dyDescent="0.25">
      <c r="A75" s="79" t="s">
        <v>481</v>
      </c>
    </row>
    <row r="76" spans="1:1" ht="33" x14ac:dyDescent="0.25">
      <c r="A76" s="79" t="s">
        <v>482</v>
      </c>
    </row>
    <row r="77" spans="1:1" x14ac:dyDescent="0.25">
      <c r="A77" s="79" t="s">
        <v>483</v>
      </c>
    </row>
    <row r="78" spans="1:1" ht="18" x14ac:dyDescent="0.25">
      <c r="A78" s="79" t="s">
        <v>484</v>
      </c>
    </row>
    <row r="79" spans="1:1" ht="30" x14ac:dyDescent="0.25">
      <c r="A79" s="79" t="s">
        <v>485</v>
      </c>
    </row>
    <row r="80" spans="1:1" ht="18.75" x14ac:dyDescent="0.25">
      <c r="A80" s="79" t="s">
        <v>486</v>
      </c>
    </row>
    <row r="81" spans="1:1" ht="33.75" x14ac:dyDescent="0.25">
      <c r="A81" s="79" t="s">
        <v>487</v>
      </c>
    </row>
    <row r="82" spans="1:1" ht="30" x14ac:dyDescent="0.25">
      <c r="A82" s="79" t="s">
        <v>488</v>
      </c>
    </row>
    <row r="83" spans="1:1" ht="18" x14ac:dyDescent="0.25">
      <c r="A83" s="79" t="s">
        <v>489</v>
      </c>
    </row>
    <row r="84" spans="1:1" ht="33" x14ac:dyDescent="0.25">
      <c r="A84" s="79" t="s">
        <v>490</v>
      </c>
    </row>
    <row r="85" spans="1:1" ht="33" x14ac:dyDescent="0.25">
      <c r="A85" s="79" t="s">
        <v>492</v>
      </c>
    </row>
    <row r="86" spans="1:1" ht="33" x14ac:dyDescent="0.25">
      <c r="A86" s="79" t="s">
        <v>493</v>
      </c>
    </row>
    <row r="87" spans="1:1" ht="30" x14ac:dyDescent="0.25">
      <c r="A87" s="79" t="s">
        <v>494</v>
      </c>
    </row>
    <row r="88" spans="1:1" ht="33" x14ac:dyDescent="0.25">
      <c r="A88" s="79" t="s">
        <v>495</v>
      </c>
    </row>
    <row r="89" spans="1:1" ht="18" x14ac:dyDescent="0.25">
      <c r="A89" s="79" t="s">
        <v>496</v>
      </c>
    </row>
    <row r="90" spans="1:1" ht="33" x14ac:dyDescent="0.25">
      <c r="A90" s="79" t="s">
        <v>499</v>
      </c>
    </row>
    <row r="91" spans="1:1" ht="33" x14ac:dyDescent="0.25">
      <c r="A91" s="79" t="s">
        <v>500</v>
      </c>
    </row>
    <row r="92" spans="1:1" ht="33" x14ac:dyDescent="0.25">
      <c r="A92" s="79" t="s">
        <v>502</v>
      </c>
    </row>
    <row r="93" spans="1:1" ht="18" x14ac:dyDescent="0.25">
      <c r="A93" s="79" t="s">
        <v>504</v>
      </c>
    </row>
    <row r="94" spans="1:1" ht="33" x14ac:dyDescent="0.25">
      <c r="A94" s="79" t="s">
        <v>506</v>
      </c>
    </row>
    <row r="95" spans="1:1" ht="18" x14ac:dyDescent="0.25">
      <c r="A95" s="79" t="s">
        <v>508</v>
      </c>
    </row>
    <row r="96" spans="1:1" ht="33.75" x14ac:dyDescent="0.25">
      <c r="A96" s="79" t="s">
        <v>509</v>
      </c>
    </row>
    <row r="97" spans="1:1" ht="18" x14ac:dyDescent="0.25">
      <c r="A97" s="79" t="s">
        <v>510</v>
      </c>
    </row>
    <row r="98" spans="1:1" ht="18.75" x14ac:dyDescent="0.25">
      <c r="A98" s="79" t="s">
        <v>511</v>
      </c>
    </row>
    <row r="99" spans="1:1" ht="17.25" x14ac:dyDescent="0.25">
      <c r="A99" s="79" t="s">
        <v>512</v>
      </c>
    </row>
    <row r="100" spans="1:1" ht="33" x14ac:dyDescent="0.25">
      <c r="A100" s="79" t="s">
        <v>513</v>
      </c>
    </row>
    <row r="101" spans="1:1" ht="18.75" x14ac:dyDescent="0.25">
      <c r="A101" s="79" t="s">
        <v>517</v>
      </c>
    </row>
    <row r="102" spans="1:1" x14ac:dyDescent="0.25">
      <c r="A102" s="79" t="s">
        <v>518</v>
      </c>
    </row>
    <row r="103" spans="1:1" ht="33.75" x14ac:dyDescent="0.25">
      <c r="A103" s="79" t="s">
        <v>520</v>
      </c>
    </row>
    <row r="104" spans="1:1" ht="33.75" x14ac:dyDescent="0.25">
      <c r="A104" s="79" t="s">
        <v>522</v>
      </c>
    </row>
    <row r="105" spans="1:1" ht="18" x14ac:dyDescent="0.25">
      <c r="A105" s="79" t="s">
        <v>523</v>
      </c>
    </row>
    <row r="106" spans="1:1" ht="33" x14ac:dyDescent="0.25">
      <c r="A106" s="79" t="s">
        <v>525</v>
      </c>
    </row>
    <row r="107" spans="1:1" ht="33" x14ac:dyDescent="0.25">
      <c r="A107" s="79" t="s">
        <v>526</v>
      </c>
    </row>
    <row r="108" spans="1:1" ht="18" x14ac:dyDescent="0.25">
      <c r="A108" s="79" t="s">
        <v>528</v>
      </c>
    </row>
    <row r="109" spans="1:1" ht="33.75" x14ac:dyDescent="0.25">
      <c r="A109" s="79" t="s">
        <v>529</v>
      </c>
    </row>
    <row r="110" spans="1:1" ht="33.75" x14ac:dyDescent="0.25">
      <c r="A110" s="79" t="s">
        <v>530</v>
      </c>
    </row>
    <row r="111" spans="1:1" ht="30" x14ac:dyDescent="0.25">
      <c r="A111" s="79" t="s">
        <v>532</v>
      </c>
    </row>
    <row r="112" spans="1:1" ht="33.75" x14ac:dyDescent="0.25">
      <c r="A112" s="79" t="s">
        <v>533</v>
      </c>
    </row>
    <row r="113" spans="1:1" ht="37.5" x14ac:dyDescent="0.25">
      <c r="A113" s="79" t="s">
        <v>534</v>
      </c>
    </row>
    <row r="114" spans="1:1" ht="33" x14ac:dyDescent="0.25">
      <c r="A114" s="79" t="s">
        <v>535</v>
      </c>
    </row>
    <row r="115" spans="1:1" x14ac:dyDescent="0.25">
      <c r="A115" s="79" t="s">
        <v>536</v>
      </c>
    </row>
    <row r="116" spans="1:1" ht="33" x14ac:dyDescent="0.25">
      <c r="A116" s="79" t="s">
        <v>537</v>
      </c>
    </row>
    <row r="117" spans="1:1" ht="30" x14ac:dyDescent="0.25">
      <c r="A117" s="79" t="s">
        <v>538</v>
      </c>
    </row>
    <row r="118" spans="1:1" ht="33" x14ac:dyDescent="0.25">
      <c r="A118" s="79" t="s">
        <v>541</v>
      </c>
    </row>
    <row r="119" spans="1:1" ht="33" x14ac:dyDescent="0.25">
      <c r="A119" s="79" t="s">
        <v>542</v>
      </c>
    </row>
    <row r="120" spans="1:1" ht="30" x14ac:dyDescent="0.25">
      <c r="A120" s="79" t="s">
        <v>543</v>
      </c>
    </row>
    <row r="121" spans="1:1" ht="32.25" x14ac:dyDescent="0.25">
      <c r="A121" s="79" t="s">
        <v>544</v>
      </c>
    </row>
    <row r="122" spans="1:1" ht="30" x14ac:dyDescent="0.25">
      <c r="A122" s="79" t="s">
        <v>545</v>
      </c>
    </row>
    <row r="123" spans="1:1" ht="33" x14ac:dyDescent="0.25">
      <c r="A123" s="79" t="s">
        <v>546</v>
      </c>
    </row>
    <row r="124" spans="1:1" ht="18" x14ac:dyDescent="0.25">
      <c r="A124" s="79" t="s">
        <v>550</v>
      </c>
    </row>
    <row r="125" spans="1:1" ht="30" x14ac:dyDescent="0.25">
      <c r="A125" s="79" t="s">
        <v>551</v>
      </c>
    </row>
    <row r="126" spans="1:1" ht="33" x14ac:dyDescent="0.25">
      <c r="A126" s="79" t="s">
        <v>552</v>
      </c>
    </row>
    <row r="127" spans="1:1" x14ac:dyDescent="0.25">
      <c r="A127" s="79" t="s">
        <v>555</v>
      </c>
    </row>
    <row r="128" spans="1:1" ht="30" x14ac:dyDescent="0.25">
      <c r="A128" s="79" t="s">
        <v>556</v>
      </c>
    </row>
    <row r="129" spans="1:1" ht="37.5" x14ac:dyDescent="0.25">
      <c r="A129" s="79" t="s">
        <v>557</v>
      </c>
    </row>
    <row r="130" spans="1:1" ht="33" x14ac:dyDescent="0.25">
      <c r="A130" s="79" t="s">
        <v>558</v>
      </c>
    </row>
    <row r="131" spans="1:1" ht="17.25" x14ac:dyDescent="0.25">
      <c r="A131" s="79" t="s">
        <v>560</v>
      </c>
    </row>
    <row r="132" spans="1:1" ht="30" x14ac:dyDescent="0.25">
      <c r="A132" s="79" t="s">
        <v>561</v>
      </c>
    </row>
    <row r="133" spans="1:1" ht="30" x14ac:dyDescent="0.25">
      <c r="A133" s="79" t="s">
        <v>563</v>
      </c>
    </row>
    <row r="134" spans="1:1" x14ac:dyDescent="0.25">
      <c r="A134" s="79" t="s">
        <v>565</v>
      </c>
    </row>
    <row r="135" spans="1:1" ht="36" x14ac:dyDescent="0.25">
      <c r="A135" s="79" t="s">
        <v>567</v>
      </c>
    </row>
    <row r="136" spans="1:1" ht="18" x14ac:dyDescent="0.25">
      <c r="A136" s="79" t="s">
        <v>568</v>
      </c>
    </row>
    <row r="137" spans="1:1" ht="33" x14ac:dyDescent="0.25">
      <c r="A137" s="79" t="s">
        <v>570</v>
      </c>
    </row>
    <row r="138" spans="1:1" ht="30" x14ac:dyDescent="0.25">
      <c r="A138" s="79" t="s">
        <v>571</v>
      </c>
    </row>
    <row r="139" spans="1:1" ht="18" x14ac:dyDescent="0.25">
      <c r="A139" s="79" t="s">
        <v>573</v>
      </c>
    </row>
    <row r="140" spans="1:1" ht="33" x14ac:dyDescent="0.25">
      <c r="A140" s="79" t="s">
        <v>574</v>
      </c>
    </row>
    <row r="141" spans="1:1" ht="18" x14ac:dyDescent="0.25">
      <c r="A141" s="79" t="s">
        <v>575</v>
      </c>
    </row>
    <row r="142" spans="1:1" ht="30" x14ac:dyDescent="0.25">
      <c r="A142" s="79" t="s">
        <v>576</v>
      </c>
    </row>
    <row r="143" spans="1:1" ht="30" x14ac:dyDescent="0.25">
      <c r="A143" s="79" t="s">
        <v>578</v>
      </c>
    </row>
    <row r="144" spans="1:1" ht="33" x14ac:dyDescent="0.25">
      <c r="A144" s="79" t="s">
        <v>579</v>
      </c>
    </row>
    <row r="145" spans="1:1" ht="33" x14ac:dyDescent="0.25">
      <c r="A145" s="79" t="s">
        <v>583</v>
      </c>
    </row>
    <row r="146" spans="1:1" ht="33.75" x14ac:dyDescent="0.25">
      <c r="A146" s="79" t="s">
        <v>584</v>
      </c>
    </row>
    <row r="147" spans="1:1" ht="33.75" x14ac:dyDescent="0.25">
      <c r="A147" s="79" t="s">
        <v>585</v>
      </c>
    </row>
    <row r="148" spans="1:1" ht="18" x14ac:dyDescent="0.25">
      <c r="A148" s="79" t="s">
        <v>586</v>
      </c>
    </row>
    <row r="149" spans="1:1" ht="18" x14ac:dyDescent="0.25">
      <c r="A149" s="79" t="s">
        <v>587</v>
      </c>
    </row>
    <row r="150" spans="1:1" ht="33" x14ac:dyDescent="0.25">
      <c r="A150" s="79" t="s">
        <v>588</v>
      </c>
    </row>
    <row r="151" spans="1:1" x14ac:dyDescent="0.25">
      <c r="A151" s="79" t="s">
        <v>589</v>
      </c>
    </row>
    <row r="152" spans="1:1" ht="18" x14ac:dyDescent="0.25">
      <c r="A152" s="79" t="s">
        <v>590</v>
      </c>
    </row>
    <row r="153" spans="1:1" ht="30" x14ac:dyDescent="0.25">
      <c r="A153" s="79" t="s">
        <v>591</v>
      </c>
    </row>
    <row r="154" spans="1:1" ht="30" x14ac:dyDescent="0.25">
      <c r="A154" s="79" t="s">
        <v>592</v>
      </c>
    </row>
    <row r="155" spans="1:1" ht="18" x14ac:dyDescent="0.25">
      <c r="A155" s="79" t="s">
        <v>593</v>
      </c>
    </row>
    <row r="156" spans="1:1" ht="33" x14ac:dyDescent="0.25">
      <c r="A156" s="79" t="s">
        <v>594</v>
      </c>
    </row>
    <row r="157" spans="1:1" ht="18" x14ac:dyDescent="0.25">
      <c r="A157" s="79" t="s">
        <v>595</v>
      </c>
    </row>
    <row r="158" spans="1:1" ht="33" x14ac:dyDescent="0.25">
      <c r="A158" s="79" t="s">
        <v>596</v>
      </c>
    </row>
    <row r="159" spans="1:1" ht="33" x14ac:dyDescent="0.25">
      <c r="A159" s="79" t="s">
        <v>598</v>
      </c>
    </row>
    <row r="160" spans="1:1" ht="30" x14ac:dyDescent="0.25">
      <c r="A160" s="79" t="s">
        <v>600</v>
      </c>
    </row>
    <row r="161" spans="1:1" ht="33" x14ac:dyDescent="0.25">
      <c r="A161" s="79" t="s">
        <v>599</v>
      </c>
    </row>
    <row r="162" spans="1:1" ht="33" x14ac:dyDescent="0.25">
      <c r="A162" s="79" t="s">
        <v>601</v>
      </c>
    </row>
    <row r="163" spans="1:1" ht="36" x14ac:dyDescent="0.25">
      <c r="A163" s="79" t="s">
        <v>602</v>
      </c>
    </row>
    <row r="164" spans="1:1" ht="33" x14ac:dyDescent="0.25">
      <c r="A164" s="79" t="s">
        <v>603</v>
      </c>
    </row>
    <row r="165" spans="1:1" ht="30" x14ac:dyDescent="0.25">
      <c r="A165" s="79" t="s">
        <v>604</v>
      </c>
    </row>
    <row r="166" spans="1:1" ht="18" x14ac:dyDescent="0.25">
      <c r="A166" s="79" t="s">
        <v>606</v>
      </c>
    </row>
    <row r="167" spans="1:1" ht="33" x14ac:dyDescent="0.25">
      <c r="A167" s="79" t="s">
        <v>607</v>
      </c>
    </row>
    <row r="168" spans="1:1" ht="18" x14ac:dyDescent="0.25">
      <c r="A168" s="79" t="s">
        <v>608</v>
      </c>
    </row>
    <row r="169" spans="1:1" ht="36.75" x14ac:dyDescent="0.25">
      <c r="A169" s="79" t="s">
        <v>609</v>
      </c>
    </row>
    <row r="170" spans="1:1" x14ac:dyDescent="0.25">
      <c r="A170" s="79" t="s">
        <v>610</v>
      </c>
    </row>
    <row r="171" spans="1:1" ht="30" x14ac:dyDescent="0.25">
      <c r="A171" s="79" t="s">
        <v>611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5" x14ac:dyDescent="0.25"/>
  <cols>
    <col min="1" max="1" width="173.7109375" customWidth="1"/>
  </cols>
  <sheetData>
    <row r="1" spans="1:1" ht="30" x14ac:dyDescent="0.25">
      <c r="A1" s="130" t="s">
        <v>718</v>
      </c>
    </row>
    <row r="2" spans="1:1" ht="17.25" x14ac:dyDescent="0.25">
      <c r="A2" t="s">
        <v>717</v>
      </c>
    </row>
    <row r="3" spans="1:1" ht="32.25" x14ac:dyDescent="0.25">
      <c r="A3" s="103" t="s">
        <v>719</v>
      </c>
    </row>
    <row r="4" spans="1:1" ht="81" x14ac:dyDescent="0.25">
      <c r="A4" s="129" t="s">
        <v>720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30</vt:i4>
      </vt:variant>
    </vt:vector>
  </HeadingPairs>
  <TitlesOfParts>
    <vt:vector size="38" baseType="lpstr">
      <vt:lpstr>Cover</vt:lpstr>
      <vt:lpstr>TOC</vt:lpstr>
      <vt:lpstr>Table S1</vt:lpstr>
      <vt:lpstr>Table S2</vt:lpstr>
      <vt:lpstr>Table S3</vt:lpstr>
      <vt:lpstr>Table S4</vt:lpstr>
      <vt:lpstr>References</vt:lpstr>
      <vt:lpstr>Figure S1</vt:lpstr>
      <vt:lpstr>'Table S2'!_Hlk484437115</vt:lpstr>
      <vt:lpstr>'Table S2'!_Hlk485299367</vt:lpstr>
      <vt:lpstr>'Table S2'!_Hlk485299401</vt:lpstr>
      <vt:lpstr>'Table S2'!_Hlk485299418</vt:lpstr>
      <vt:lpstr>'Table S1'!_Ref487900165</vt:lpstr>
      <vt:lpstr>'Table S1'!_Ref487900166</vt:lpstr>
      <vt:lpstr>'Table S1'!_Ref488228018</vt:lpstr>
      <vt:lpstr>'Table S2'!_Ref490734173</vt:lpstr>
      <vt:lpstr>'Table S2'!_Ref490734449</vt:lpstr>
      <vt:lpstr>'Table S2'!_Ref490734458</vt:lpstr>
      <vt:lpstr>'Table S2'!_Ref490734648</vt:lpstr>
      <vt:lpstr>'Table S2'!_Ref490736047</vt:lpstr>
      <vt:lpstr>'Table S2'!_Ref490736444</vt:lpstr>
      <vt:lpstr>'Table S2'!_Ref490736819</vt:lpstr>
      <vt:lpstr>'Table S2'!_Ref490741158</vt:lpstr>
      <vt:lpstr>'Table S2'!_Ref490743285</vt:lpstr>
      <vt:lpstr>'Table S2'!_Ref490745017</vt:lpstr>
      <vt:lpstr>'Table S2'!_Ref490745695</vt:lpstr>
      <vt:lpstr>'Table S3'!_Ref491103166</vt:lpstr>
      <vt:lpstr>'Table S2'!OLE_LINK15</vt:lpstr>
      <vt:lpstr>'Table S2'!OLE_LINK17</vt:lpstr>
      <vt:lpstr>'Table S2'!OLE_LINK18</vt:lpstr>
      <vt:lpstr>'Table S2'!OLE_LINK20</vt:lpstr>
      <vt:lpstr>'Table S2'!OLE_LINK41</vt:lpstr>
      <vt:lpstr>'Table S2'!OLE_LINK44</vt:lpstr>
      <vt:lpstr>'Table S2'!OLE_LINK53</vt:lpstr>
      <vt:lpstr>'Table S2'!OLE_LINK61</vt:lpstr>
      <vt:lpstr>'Table S2'!OLE_LINK78</vt:lpstr>
      <vt:lpstr>'Table S2'!OLE_LINK81</vt:lpstr>
      <vt:lpstr>'Table S2'!OLE_LINK84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Sandor Gobi</dc:creator>
  <cp:lastModifiedBy>Sandor Gobi</cp:lastModifiedBy>
  <cp:lastPrinted>2017-08-28T22:16:15Z</cp:lastPrinted>
  <dcterms:created xsi:type="dcterms:W3CDTF">2017-06-21T03:40:49Z</dcterms:created>
  <dcterms:modified xsi:type="dcterms:W3CDTF">2017-11-15T23:02:31Z</dcterms:modified>
</cp:coreProperties>
</file>